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840" windowHeight="9045" tabRatio="968" activeTab="4"/>
  </bookViews>
  <sheets>
    <sheet name="Z_TARTALOMJEGYZÉK" sheetId="1" r:id="rId1"/>
    <sheet name="Z_ALAPADATOK" sheetId="2" r:id="rId2"/>
    <sheet name="Z_ÖSSZEFÜGGÉSEK" sheetId="3" r:id="rId3"/>
    <sheet name="Z_1.1.sz.mell." sheetId="4" r:id="rId4"/>
    <sheet name="Z_1.2.sz.mell." sheetId="5" r:id="rId5"/>
    <sheet name="Z_1.3.sz.mell." sheetId="6" r:id="rId6"/>
    <sheet name="Z_1.4.sz.mell." sheetId="7" r:id="rId7"/>
    <sheet name="Z_2.1.sz.mell" sheetId="8" r:id="rId8"/>
    <sheet name="Z_2.2.sz.mell" sheetId="9" r:id="rId9"/>
    <sheet name="Z_ELLENŐRZÉS" sheetId="10" r:id="rId10"/>
    <sheet name="Z_3.sz.mell." sheetId="11" r:id="rId11"/>
    <sheet name="Z_4.sz.mell." sheetId="12" r:id="rId12"/>
    <sheet name="Z_5.sz.mell." sheetId="13" r:id="rId13"/>
    <sheet name="Z_6.1.sz.mell" sheetId="14" r:id="rId14"/>
    <sheet name="Z_6.1.1.sz.mell" sheetId="15" r:id="rId15"/>
    <sheet name="Z_6.1.2.sz.mell" sheetId="16" r:id="rId16"/>
    <sheet name="Z_6.1.3.sz.mell" sheetId="17" r:id="rId17"/>
    <sheet name="Z_6.2.sz.mell" sheetId="18" r:id="rId18"/>
    <sheet name="Z_6.2.1.sz.mell" sheetId="19" r:id="rId19"/>
    <sheet name="Z_6.2.2.sz.mell" sheetId="20" r:id="rId20"/>
    <sheet name="Z_6.2.3.sz.mell" sheetId="21" r:id="rId21"/>
    <sheet name="Z_6.3.sz.mell" sheetId="22" r:id="rId22"/>
    <sheet name="Z_6.3.1.sz.mell" sheetId="23" r:id="rId23"/>
    <sheet name="Z_6.3.2.sz.mell" sheetId="24" r:id="rId24"/>
    <sheet name="Z_6.3.3.sz.mell" sheetId="25" r:id="rId25"/>
    <sheet name="Z_7.sz.mell" sheetId="26" r:id="rId26"/>
    <sheet name="Z_8.sz.mell" sheetId="27" r:id="rId27"/>
    <sheet name="Z_1.tájékoztató_t." sheetId="28" r:id="rId28"/>
    <sheet name="Z_2.tájékoztató_t." sheetId="29" r:id="rId29"/>
    <sheet name="Z_3.tájékoztató_t." sheetId="30" r:id="rId30"/>
    <sheet name="Z_4.tájékoztató_t." sheetId="31" r:id="rId31"/>
    <sheet name="Z_5.tájékoztató_t." sheetId="32" r:id="rId32"/>
    <sheet name="Z_6.tájékoztató_t." sheetId="33" r:id="rId33"/>
    <sheet name="Z_7.1.tájékoztató_t." sheetId="34" r:id="rId34"/>
    <sheet name="Z_7.2.tájékoztató_t." sheetId="35" r:id="rId35"/>
    <sheet name="Z_7.3.tájékoztató_t." sheetId="36" r:id="rId36"/>
    <sheet name="Z_8.tájékoztató_t." sheetId="37" r:id="rId37"/>
    <sheet name="Z_9.tájékoztató_t." sheetId="38" r:id="rId38"/>
  </sheets>
  <definedNames>
    <definedName name="_ftn1" localSheetId="35">'Z_7.3.tájékoztató_t.'!$A$31</definedName>
    <definedName name="_ftnref1" localSheetId="35">'Z_7.3.tájékoztató_t.'!$A$22</definedName>
    <definedName name="_xlfn.IFERROR" hidden="1">#NAME?</definedName>
    <definedName name="_xlnm.Print_Titles" localSheetId="14">'Z_6.1.1.sz.mell'!$1:$6</definedName>
    <definedName name="_xlnm.Print_Titles" localSheetId="15">'Z_6.1.2.sz.mell'!$1:$6</definedName>
    <definedName name="_xlnm.Print_Titles" localSheetId="16">'Z_6.1.3.sz.mell'!$1:$6</definedName>
    <definedName name="_xlnm.Print_Titles" localSheetId="13">'Z_6.1.sz.mell'!$1:$6</definedName>
    <definedName name="_xlnm.Print_Titles" localSheetId="18">'Z_6.2.1.sz.mell'!$1:$6</definedName>
    <definedName name="_xlnm.Print_Titles" localSheetId="19">'Z_6.2.2.sz.mell'!$1:$6</definedName>
    <definedName name="_xlnm.Print_Titles" localSheetId="20">'Z_6.2.3.sz.mell'!$1:$6</definedName>
    <definedName name="_xlnm.Print_Titles" localSheetId="17">'Z_6.2.sz.mell'!$1:$6</definedName>
    <definedName name="_xlnm.Print_Titles" localSheetId="22">'Z_6.3.1.sz.mell'!$1:$6</definedName>
    <definedName name="_xlnm.Print_Titles" localSheetId="23">'Z_6.3.2.sz.mell'!$1:$6</definedName>
    <definedName name="_xlnm.Print_Titles" localSheetId="24">'Z_6.3.3.sz.mell'!$1:$6</definedName>
    <definedName name="_xlnm.Print_Titles" localSheetId="21">'Z_6.3.sz.mell'!$1:$6</definedName>
    <definedName name="_xlnm.Print_Titles" localSheetId="33">'Z_7.1.tájékoztató_t.'!$5:$9</definedName>
    <definedName name="_xlnm.Print_Area" localSheetId="3">'Z_1.1.sz.mell.'!$A$1:$E$166</definedName>
    <definedName name="_xlnm.Print_Area" localSheetId="4">'Z_1.2.sz.mell.'!$A$1:$E$166</definedName>
    <definedName name="_xlnm.Print_Area" localSheetId="5">'Z_1.3.sz.mell.'!$A$1:$E$166</definedName>
    <definedName name="_xlnm.Print_Area" localSheetId="6">'Z_1.4.sz.mell.'!$A$1:$E$166</definedName>
    <definedName name="_xlnm.Print_Area" localSheetId="27">'Z_1.tájékoztató_t.'!$A$1:$E$148</definedName>
  </definedNames>
  <calcPr fullCalcOnLoad="1"/>
</workbook>
</file>

<file path=xl/sharedStrings.xml><?xml version="1.0" encoding="utf-8"?>
<sst xmlns="http://schemas.openxmlformats.org/spreadsheetml/2006/main" count="4772" uniqueCount="945">
  <si>
    <t>Vállalkozási maradvány igénybevétele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</si>
  <si>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</si>
  <si>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</si>
  <si>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</si>
  <si>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</si>
  <si>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</si>
  <si>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</si>
  <si>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</si>
  <si>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</si>
  <si>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</si>
  <si>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</si>
  <si>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</si>
  <si>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</si>
  <si>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</si>
  <si>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</si>
  <si>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</si>
  <si>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</si>
  <si>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</si>
  <si>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</si>
  <si>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</si>
  <si>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</si>
  <si>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</si>
  <si>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</si>
  <si>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</si>
  <si>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</si>
  <si>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</si>
  <si>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</si>
  <si>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</si>
  <si>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</si>
  <si>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</si>
  <si>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</si>
  <si>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</si>
  <si>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</si>
  <si>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</si>
  <si>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</si>
  <si>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</si>
  <si>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</si>
  <si>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</t>
  </si>
  <si>
    <t>Összesen: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</si>
  <si>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</si>
  <si>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</si>
  <si>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</si>
  <si>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</si>
  <si>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</si>
  <si>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</si>
  <si>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</si>
  <si>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</si>
  <si>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</si>
  <si>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</si>
  <si>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</si>
  <si>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</si>
  <si>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</si>
  <si>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</si>
  <si>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</si>
  <si>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</si>
  <si>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</si>
  <si>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</si>
  <si>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</si>
  <si>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</si>
  <si>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</si>
  <si>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</si>
  <si>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</si>
  <si>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</si>
  <si>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</si>
  <si>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</si>
  <si>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</si>
  <si>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</si>
  <si>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</si>
  <si>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</si>
  <si>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</si>
  <si>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</si>
  <si>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</si>
  <si>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</si>
  <si>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</si>
  <si>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</si>
  <si>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</si>
  <si>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</si>
  <si>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</si>
  <si>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</si>
  <si>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</si>
  <si>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</si>
  <si>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</si>
  <si>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</si>
  <si>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</si>
  <si>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</si>
  <si>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</si>
  <si>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</si>
  <si>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</si>
  <si>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</si>
  <si>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</si>
  <si>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</si>
  <si>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</si>
  <si>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</si>
  <si>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</si>
  <si>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</si>
  <si>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</si>
  <si>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</si>
  <si>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</si>
  <si>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</si>
  <si>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</si>
  <si>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</si>
  <si>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</si>
  <si>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</si>
  <si>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</si>
  <si>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</si>
  <si>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</si>
  <si>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</si>
  <si>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</si>
  <si>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</si>
  <si>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</si>
  <si>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</si>
  <si>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</si>
  <si>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</si>
  <si>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</si>
  <si>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</si>
  <si>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</si>
  <si>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</si>
  <si>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</si>
  <si>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</si>
  <si>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</si>
  <si>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</si>
  <si>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</si>
  <si>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</si>
  <si>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</si>
  <si>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</si>
  <si>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</si>
  <si>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</si>
  <si>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</si>
  <si>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</si>
  <si>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</si>
  <si>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</si>
  <si>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</si>
  <si>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</si>
  <si>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</si>
  <si>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</si>
  <si>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</si>
  <si>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</si>
  <si>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</si>
  <si>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</si>
  <si>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</si>
  <si>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</si>
  <si>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</si>
  <si>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</si>
  <si>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</si>
  <si>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</si>
  <si>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</si>
  <si>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</si>
  <si>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</si>
  <si>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</si>
  <si>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</si>
  <si>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</si>
  <si>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</si>
  <si>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</si>
  <si>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</si>
  <si>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</si>
  <si>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</si>
  <si>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</si>
  <si>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</si>
  <si>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</si>
  <si>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</si>
  <si>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</si>
  <si>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</si>
  <si>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</si>
  <si>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</si>
  <si>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</si>
  <si>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</si>
  <si>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</si>
  <si>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</si>
  <si>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</si>
  <si>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</si>
  <si>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</si>
  <si>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</si>
  <si>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</si>
  <si>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</si>
  <si>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</si>
  <si>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</si>
  <si>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</si>
  <si>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</si>
  <si>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</si>
  <si>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</si>
  <si>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</si>
  <si>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</si>
  <si>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</si>
  <si>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</si>
  <si>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</si>
  <si>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</si>
  <si>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</si>
  <si>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</si>
  <si>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</si>
  <si>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</si>
  <si>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</si>
  <si>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</si>
  <si>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</si>
  <si>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</si>
  <si>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</si>
  <si>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</si>
  <si>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</si>
  <si>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</si>
  <si>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</si>
  <si>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</si>
  <si>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</si>
  <si>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</si>
  <si>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</si>
  <si>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</si>
  <si>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</si>
  <si>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</si>
  <si>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</si>
  <si>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</si>
  <si>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</si>
  <si>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</si>
  <si>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</si>
  <si>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</si>
  <si>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</si>
  <si>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</si>
  <si>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</si>
  <si>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</si>
  <si>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</si>
  <si>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</si>
  <si>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</si>
  <si>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</si>
  <si>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</si>
  <si>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</si>
  <si>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</si>
  <si>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</si>
  <si>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</si>
  <si>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</si>
  <si>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</si>
  <si>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</si>
  <si>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</si>
  <si>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</si>
  <si>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</si>
  <si>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</si>
  <si>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</si>
  <si>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</si>
  <si>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</si>
  <si>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</si>
  <si>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</si>
  <si>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</si>
  <si>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</si>
  <si>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</si>
  <si>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</si>
  <si>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</si>
  <si>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</si>
  <si>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</si>
  <si>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</si>
  <si>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</si>
  <si>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</si>
  <si>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</si>
  <si>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</si>
  <si>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</si>
  <si>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</si>
  <si>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</si>
  <si>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</si>
  <si>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</si>
  <si>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</si>
  <si>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</si>
  <si>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</si>
  <si>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</si>
  <si>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</si>
  <si>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</si>
  <si>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</si>
  <si>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</si>
  <si>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</si>
  <si>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</si>
  <si>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</si>
  <si>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</si>
  <si>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</si>
  <si>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</si>
  <si>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</si>
  <si>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</si>
  <si>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</si>
  <si>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</si>
  <si>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</si>
  <si>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</si>
  <si>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</si>
  <si>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</si>
  <si>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</si>
  <si>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</si>
  <si>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</si>
  <si>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</si>
  <si>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</si>
  <si>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</si>
  <si>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</si>
  <si>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</si>
  <si>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</si>
  <si>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</si>
  <si>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Értékpapírok bevételei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</si>
  <si>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</si>
  <si>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</si>
  <si>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</si>
  <si>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</si>
  <si>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</si>
  <si>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</si>
  <si>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</si>
  <si>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</si>
  <si>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</si>
  <si>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</si>
  <si>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</si>
  <si>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</si>
  <si>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</si>
  <si>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</si>
  <si>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</si>
  <si>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</si>
  <si>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</si>
  <si>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</si>
  <si>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</si>
  <si>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Polgármesteri /közös/ hivatal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</si>
  <si>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</si>
  <si>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</si>
  <si>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</si>
  <si>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</si>
  <si>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</si>
  <si>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</si>
  <si>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</si>
  <si>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</si>
  <si>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</si>
  <si>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</si>
  <si>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</si>
  <si>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</si>
  <si>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</si>
  <si>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</si>
  <si>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</si>
  <si>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</si>
  <si>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</si>
  <si>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</si>
  <si>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</si>
  <si>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</si>
  <si>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</si>
  <si>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</si>
  <si>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</si>
  <si>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</si>
  <si>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</si>
  <si>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</si>
  <si>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</si>
  <si>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</si>
  <si>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</si>
  <si>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</si>
  <si>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</si>
  <si>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</si>
  <si>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</si>
  <si>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</si>
  <si>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</si>
  <si>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</si>
  <si>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</si>
  <si>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</si>
  <si>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</si>
  <si>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</si>
  <si>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</si>
  <si>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</si>
  <si>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</si>
  <si>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</si>
  <si>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</si>
  <si>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</si>
  <si>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</si>
  <si>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</si>
  <si>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</si>
  <si>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</si>
  <si>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</si>
  <si>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</si>
  <si>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</si>
  <si>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</si>
  <si>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</si>
  <si>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</si>
  <si>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</si>
  <si>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</si>
  <si>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</si>
  <si>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</si>
  <si>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</si>
  <si>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</si>
  <si>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</si>
  <si>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</si>
  <si>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</si>
  <si>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</si>
  <si>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</si>
  <si>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</si>
  <si>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</si>
  <si>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</si>
  <si>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</si>
  <si>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</si>
  <si>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</si>
  <si>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</si>
  <si>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</si>
  <si>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</si>
  <si>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</si>
  <si>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</si>
  <si>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</si>
  <si>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</si>
  <si>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BEVÉTEL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</si>
  <si>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</si>
  <si>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</si>
  <si>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</si>
  <si>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</si>
  <si>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</si>
  <si>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</si>
  <si>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</si>
  <si>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</si>
  <si>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</si>
  <si>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</si>
  <si>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</si>
  <si>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</si>
  <si>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</si>
  <si>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</si>
  <si>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</si>
  <si>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</si>
  <si>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</si>
  <si>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</si>
  <si>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</si>
  <si>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</si>
  <si>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</si>
  <si>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</si>
  <si>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</si>
  <si>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</si>
  <si>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</si>
  <si>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</si>
  <si>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</si>
  <si>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</si>
  <si>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</si>
  <si>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</si>
  <si>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</si>
  <si>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</si>
  <si>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</si>
  <si>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</si>
  <si>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Módosított
előirányzat</t>
  </si>
  <si>
    <t>Kiadási jogcím</t>
  </si>
  <si>
    <t>Hitel-, kölcsöntörlesztés államházt-on kívülre (4.1. + … + 4.3.)</t>
  </si>
  <si>
    <t xml:space="preserve">F </t>
  </si>
  <si>
    <t>I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</si>
  <si>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</si>
  <si>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</si>
  <si>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</si>
  <si>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</si>
  <si>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</si>
  <si>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</si>
  <si>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</si>
  <si>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</si>
  <si>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</si>
  <si>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</si>
  <si>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</si>
  <si>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</si>
  <si>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</si>
  <si>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</si>
  <si>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</si>
  <si>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</si>
  <si>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</si>
  <si>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</si>
  <si>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</si>
  <si>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</si>
  <si>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r>
      <t>EU-s projekt neve, azonosítója:</t>
    </r>
    <r>
      <rPr>
        <sz val="12"/>
        <rFont val="Times New Roman"/>
        <family val="1"/>
      </rPr>
      <t>*</t>
    </r>
  </si>
  <si>
    <t>Támogatási szerződés szerinti bevételek, kiadások</t>
  </si>
  <si>
    <t>Teljesítés</t>
  </si>
  <si>
    <t>Eredeti</t>
  </si>
  <si>
    <t>Módosított</t>
  </si>
  <si>
    <t>Évenkénti üteme</t>
  </si>
  <si>
    <t>Összes bevétel,
kiadás</t>
  </si>
  <si>
    <t>J</t>
  </si>
  <si>
    <t>K</t>
  </si>
  <si>
    <t>L=(J+K)</t>
  </si>
  <si>
    <t>M=(L/C)</t>
  </si>
  <si>
    <t>Eredeti ei.</t>
  </si>
  <si>
    <t>Módosított ei.</t>
  </si>
  <si>
    <t>Eredeti előirányzat</t>
  </si>
  <si>
    <t>Módosított előirányzat</t>
  </si>
  <si>
    <t>6.1.1. melléklet</t>
  </si>
  <si>
    <t>6.1.2. melléklet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</si>
  <si>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</si>
  <si>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</si>
  <si>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</si>
  <si>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</si>
  <si>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</si>
  <si>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</si>
  <si>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</si>
  <si>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</si>
  <si>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</si>
  <si>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</si>
  <si>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</si>
  <si>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</si>
  <si>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</si>
  <si>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</si>
  <si>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</si>
  <si>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</si>
  <si>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</si>
  <si>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</si>
  <si>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</si>
  <si>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</si>
  <si>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</si>
  <si>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</si>
  <si>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</si>
  <si>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Közhatalmi bevételek (4.1.+…+4.7.)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</si>
  <si>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</si>
  <si>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</si>
  <si>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</si>
  <si>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</si>
  <si>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</si>
  <si>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</si>
  <si>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</si>
  <si>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Kamatbevételek és más nyereségjellegű bevételek</t>
  </si>
  <si>
    <t>Kiemelt előirányzat, előirányzat megnevezése</t>
  </si>
  <si>
    <t>Tényleges állományi létszám előirányzat (fő)</t>
  </si>
  <si>
    <t>Közfoglalkoztatottak tényleges állományi létszáma (fő)</t>
  </si>
  <si>
    <t xml:space="preserve"> 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</si>
  <si>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</si>
  <si>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</si>
  <si>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</si>
  <si>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</si>
  <si>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Lekötött betétek megszüntetése</t>
  </si>
  <si>
    <t>ALAPADATOK</t>
  </si>
  <si>
    <t>1. költségvetési szerv neve</t>
  </si>
  <si>
    <t>2. költségvetési szerv neve</t>
  </si>
  <si>
    <t>2 kvi név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</si>
  <si>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</si>
  <si>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</si>
  <si>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</si>
  <si>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</si>
  <si>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</si>
  <si>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</si>
  <si>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</si>
  <si>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</si>
  <si>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</si>
  <si>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</si>
  <si>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</si>
  <si>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</si>
  <si>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</si>
  <si>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</si>
  <si>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</si>
  <si>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2.1. melléklet</t>
  </si>
  <si>
    <t xml:space="preserve">Összesen: </t>
  </si>
  <si>
    <t xml:space="preserve">* Amennyiben több projekt megvalósítása történi egy időben akkor azokat külön-külön, projektenként be kell mutatni! </t>
  </si>
  <si>
    <t>Zárszámadási rendelet űrlapjainak összefüggései:</t>
  </si>
  <si>
    <t>Beruházási (felhalmozási) kiadások előirányzata és teljesítése beruházásonként</t>
  </si>
  <si>
    <t>Felújítási kiadások előirányzata és teljesítése felújításonként</t>
  </si>
  <si>
    <t>Európai uniós támogatással megvalósuló projektek</t>
  </si>
  <si>
    <t>6.1. melléklet</t>
  </si>
  <si>
    <t>Működési célú központosított előirányzatok</t>
  </si>
  <si>
    <t>Helyi önkormányzatok kiegészítő támogatásai</t>
  </si>
  <si>
    <t>Közhatalmi bevételek (4.1.+...+4.7.)</t>
  </si>
  <si>
    <t>Működési bevételek (5.1.+…+ 5.10.)</t>
  </si>
  <si>
    <t>Működési célú visszatérítendő támogatások kölcsönök visszatér. ÁH-n kívülről</t>
  </si>
  <si>
    <t>Felhalm. célú visszatérítendő támogatások kölcsönök visszatér. ÁH-n kívülről</t>
  </si>
  <si>
    <t>Hitel-, kölcsönfelvétel államháztartáson kívülről  (10.1.+…+10.3.)</t>
  </si>
  <si>
    <t>FINANSZÍROZÁSI BEVÉTELEK ÖSSZESEN: (10. + … +15.)</t>
  </si>
  <si>
    <t>KÖLTSÉGVETÉSI ÉS FINANSZÍROZÁSI BEVÉTELEK ÖSSZESEN: (9+16)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</si>
  <si>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</si>
  <si>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</si>
  <si>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</si>
  <si>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</si>
  <si>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</si>
  <si>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</si>
  <si>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</si>
  <si>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 + … + 5.3.)</t>
  </si>
  <si>
    <t>Belföldi értékpapírok kiadásai (6.1. + … + 6.4.)</t>
  </si>
  <si>
    <t>Forgatási célú belföldi értékpapírok beváltása</t>
  </si>
  <si>
    <t>Befektetési célú belföldi értékpapírok beváltása</t>
  </si>
  <si>
    <t>Belföldi finanszírozás kiadásai (7.1. + … + 7.4.)</t>
  </si>
  <si>
    <t xml:space="preserve">Pénzeszközök betétként elhelyezése </t>
  </si>
  <si>
    <t>Külföldi finanszírozás kiadásai (8.1. + … + 8.4.)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</si>
  <si>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</si>
  <si>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</si>
  <si>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</si>
  <si>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</si>
  <si>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</si>
  <si>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</si>
  <si>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</si>
  <si>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</si>
  <si>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</si>
  <si>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</si>
  <si>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</si>
  <si>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 xml:space="preserve">B </t>
  </si>
  <si>
    <t>J=(F+…+I)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</si>
  <si>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</si>
  <si>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</si>
  <si>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</si>
  <si>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</si>
  <si>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</si>
  <si>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</si>
  <si>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</si>
  <si>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</si>
  <si>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</si>
  <si>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</si>
  <si>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</si>
  <si>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</si>
  <si>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</si>
  <si>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Összesen (1+8)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</si>
  <si>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</si>
  <si>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</si>
  <si>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</si>
  <si>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</si>
  <si>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</si>
  <si>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</si>
  <si>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</si>
  <si>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</si>
  <si>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</si>
  <si>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H=(D+…+G)</t>
  </si>
  <si>
    <t>I=(C+H)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</si>
  <si>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</si>
  <si>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</si>
  <si>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</si>
  <si>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</si>
  <si>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</si>
  <si>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</si>
  <si>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</si>
  <si>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</si>
  <si>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</si>
  <si>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</si>
  <si>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</si>
  <si>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</si>
  <si>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</si>
  <si>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</si>
  <si>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</si>
  <si>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</si>
  <si>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</si>
  <si>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</si>
  <si>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</si>
  <si>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</si>
  <si>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</si>
  <si>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</si>
  <si>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</si>
  <si>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</si>
  <si>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</si>
  <si>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</si>
  <si>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</si>
  <si>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</si>
  <si>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</si>
  <si>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</si>
  <si>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</si>
  <si>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</si>
  <si>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29.</t>
  </si>
  <si>
    <t>30.</t>
  </si>
  <si>
    <t>31.</t>
  </si>
  <si>
    <t>32.</t>
  </si>
  <si>
    <t>33.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</si>
  <si>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</si>
  <si>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</si>
  <si>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</si>
  <si>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</si>
  <si>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</si>
  <si>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</si>
  <si>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</si>
  <si>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</si>
  <si>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</si>
  <si>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</si>
  <si>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</si>
  <si>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</si>
  <si>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</si>
  <si>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</si>
  <si>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</si>
  <si>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</si>
  <si>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</si>
  <si>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</si>
  <si>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</si>
  <si>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</si>
  <si>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</si>
  <si>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</si>
  <si>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</si>
  <si>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</si>
  <si>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</si>
  <si>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</si>
  <si>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</si>
  <si>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</si>
  <si>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</si>
  <si>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</si>
  <si>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</si>
  <si>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</si>
  <si>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</si>
  <si>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</si>
  <si>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</si>
  <si>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</si>
  <si>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</si>
  <si>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</si>
  <si>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</si>
  <si>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</si>
  <si>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</si>
  <si>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</si>
  <si>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</si>
  <si>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</si>
  <si>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</si>
  <si>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</si>
  <si>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</si>
  <si>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</si>
  <si>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</si>
  <si>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</si>
  <si>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</si>
  <si>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</si>
  <si>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</si>
  <si>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</si>
  <si>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</si>
  <si>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</si>
  <si>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</si>
  <si>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</si>
  <si>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</si>
  <si>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</si>
  <si>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</si>
  <si>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</si>
  <si>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</si>
  <si>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</si>
  <si>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</si>
  <si>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</si>
  <si>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</si>
  <si>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</si>
  <si>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</si>
  <si>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</si>
  <si>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</si>
  <si>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</si>
  <si>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</si>
  <si>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</si>
  <si>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</si>
  <si>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</si>
  <si>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</si>
  <si>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</si>
  <si>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</si>
  <si>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</si>
  <si>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</si>
  <si>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</si>
  <si>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</si>
  <si>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</si>
  <si>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</si>
  <si>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</si>
  <si>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</si>
  <si>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</si>
  <si>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</si>
  <si>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</si>
  <si>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</si>
  <si>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</si>
  <si>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</si>
  <si>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</si>
  <si>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</si>
  <si>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</si>
  <si>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</si>
  <si>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</si>
  <si>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</si>
  <si>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</si>
  <si>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</si>
  <si>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60.</t>
  </si>
  <si>
    <t>F) AKTÍV IDŐBELI ELHATÁROLÁSOK</t>
  </si>
  <si>
    <t>61.</t>
  </si>
  <si>
    <t>ESZKÖZÖK ÖSSZESEN  (45+48+53+57+60+61)</t>
  </si>
  <si>
    <t>62.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</si>
  <si>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</si>
  <si>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</si>
  <si>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</si>
  <si>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</si>
  <si>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</si>
  <si>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</si>
  <si>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</si>
  <si>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</si>
  <si>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</si>
  <si>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</si>
  <si>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</si>
  <si>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</si>
  <si>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</si>
  <si>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</si>
  <si>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</si>
  <si>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</si>
  <si>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Mennyiség
(db)</t>
  </si>
  <si>
    <t>Értéke
(Ft)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</si>
  <si>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</si>
  <si>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</si>
  <si>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</si>
  <si>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</si>
  <si>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</si>
  <si>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</si>
  <si>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</si>
  <si>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</si>
  <si>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</si>
  <si>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</si>
  <si>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</si>
  <si>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</si>
  <si>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</si>
  <si>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</si>
  <si>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</si>
  <si>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</si>
  <si>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</si>
  <si>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</si>
  <si>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</si>
  <si>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* Nvt. 1. § (2) bekezdés g) és h) pontja szerinti kulturális javak és régészeti eszközök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</si>
  <si>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</si>
  <si>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</si>
  <si>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</si>
  <si>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</si>
  <si>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</si>
  <si>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</si>
  <si>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</si>
  <si>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</si>
  <si>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</si>
  <si>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</si>
  <si>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</si>
  <si>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Egyéb korrekciós tételek (+,-)</t>
  </si>
  <si>
    <t>2019. ÉVI ZÁRSZÁMADÁSÁNAK PÉNZÜGYI MÉRLEGE</t>
  </si>
  <si>
    <t>1. tájékoztató tábla</t>
  </si>
  <si>
    <t>Többéves kihatással járó döntésekből származó kötzelezettségek célok szerinti, évenkénti bontásban</t>
  </si>
  <si>
    <t>2. tájékoztató tábla</t>
  </si>
  <si>
    <t>2020.</t>
  </si>
  <si>
    <t>2021.</t>
  </si>
  <si>
    <t>2021. után</t>
  </si>
  <si>
    <t>3. tájékoztató tábla</t>
  </si>
  <si>
    <t>4. tájékoztató tábla</t>
  </si>
  <si>
    <t>5. tájékoztató tábla</t>
  </si>
  <si>
    <t>Az önkormányzat által adott közvetett támogatások</t>
  </si>
  <si>
    <t>(kedvezménye)</t>
  </si>
  <si>
    <t>K I M U T A T Á S</t>
  </si>
  <si>
    <t>6. tájékoztató tábla</t>
  </si>
  <si>
    <t>E) EGYÉB SAJÁTOS  ELSZÁMOLÁSOK (58+59)</t>
  </si>
  <si>
    <t>7.1. tájékoztató tábla</t>
  </si>
  <si>
    <t>VAGYONKIMUTATÁS</t>
  </si>
  <si>
    <t>a könyvviteli mérlegben értékkel szerplő eszközökről</t>
  </si>
  <si>
    <t>7.2. tájékoztató tábla</t>
  </si>
  <si>
    <t>7.3. tájékoztató tábla</t>
  </si>
  <si>
    <t>az érték nélkül nyilvántartott eszkzözkről</t>
  </si>
  <si>
    <t>8. tájékoztató tábla</t>
  </si>
  <si>
    <t>9. tájékoztató tábla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</si>
  <si>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</si>
  <si>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</si>
  <si>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</si>
  <si>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</si>
  <si>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</si>
  <si>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</si>
  <si>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</si>
  <si>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 xml:space="preserve">1.1. melléklet </t>
  </si>
  <si>
    <t>1.2. melléklet</t>
  </si>
  <si>
    <t>1.3. melléklet</t>
  </si>
  <si>
    <t>1.4. melléklet</t>
  </si>
  <si>
    <t>Működési célú bevételek, kiadások mérlege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</si>
  <si>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</si>
  <si>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</si>
  <si>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</si>
  <si>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</si>
  <si>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Beruházási (felhalmozási) kiadások előirányzata beruházásonként</t>
  </si>
  <si>
    <t>4. melléklet</t>
  </si>
  <si>
    <t>Felújítási kiadások előirányzata felújításonként</t>
  </si>
  <si>
    <t>5. melléklet</t>
  </si>
  <si>
    <t>Összes  bevétel, kiadás</t>
  </si>
  <si>
    <t>Kötelező feladtok bevételei, kiadásai</t>
  </si>
  <si>
    <t>6.1.3. melléklet</t>
  </si>
  <si>
    <t>Államigazgatási feladatok  bevételei, kiadásai</t>
  </si>
  <si>
    <t>6.2. melléklet</t>
  </si>
  <si>
    <t>6.3. melléklet</t>
  </si>
  <si>
    <t>6.4. melléklet</t>
  </si>
  <si>
    <t>6.5.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</si>
  <si>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</si>
  <si>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</si>
  <si>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</si>
  <si>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</si>
  <si>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</si>
  <si>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</si>
  <si>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</si>
  <si>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ZÁRSZÁMADÁSI RENDLET</t>
  </si>
  <si>
    <t>Pénzeszköz változás levezetése</t>
  </si>
  <si>
    <t>a könyvviteli mérlegben értékkel szereplő forrásokról</t>
  </si>
  <si>
    <t>a</t>
  </si>
  <si>
    <t>/</t>
  </si>
  <si>
    <t>(</t>
  </si>
  <si>
    <t>)</t>
  </si>
  <si>
    <t>önkormányzati rendelethez</t>
  </si>
  <si>
    <t>Táblázatok adatainak összefüggései</t>
  </si>
  <si>
    <t>Előterjesztéskor</t>
  </si>
  <si>
    <t>Az önkormányzat által nyújtott hitel és kölcsön alakulása lejárat és eszközök szerinti bontásban</t>
  </si>
  <si>
    <t>2018. évi eredeti előirányzat BEVÉTELEK</t>
  </si>
  <si>
    <t>2018. évi ZÁRSZÁMADÁSÁNAK PÉNZÜGYI MÉRLEGE</t>
  </si>
  <si>
    <t>2019.</t>
  </si>
  <si>
    <t>Forintban</t>
  </si>
  <si>
    <t>Jogcím</t>
  </si>
  <si>
    <t>Módisított támogatás összege</t>
  </si>
  <si>
    <t>Tényleges támogatás összege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</si>
  <si>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</si>
  <si>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</si>
  <si>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</si>
  <si>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</si>
  <si>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</si>
  <si>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</si>
  <si>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</si>
  <si>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</si>
  <si>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KÖLTSÉGVETÉSI SZERVEK MARADVÁNYÁNAK ALAKULÁSA</t>
  </si>
  <si>
    <t>7. melléklet</t>
  </si>
  <si>
    <t>8. melléklet</t>
  </si>
  <si>
    <t>. évi</t>
  </si>
  <si>
    <t>Forintban!</t>
  </si>
  <si>
    <r>
      <t>2017. évi C.
törvény 2. sz. melléklete száma</t>
    </r>
    <r>
      <rPr>
        <b/>
        <sz val="10"/>
        <rFont val="Symbol"/>
        <family val="1"/>
      </rPr>
      <t>*</t>
    </r>
  </si>
  <si>
    <t>2018. évi általános működés és ágazati feladatok támogatásának alakulása jogcímenként</t>
  </si>
  <si>
    <t>* Magyarország 2018. évi központi költségvetéséról szóló törvény</t>
  </si>
  <si>
    <t>2018. ÉVI ZÁRSZÁMADSÁS</t>
  </si>
  <si>
    <t>KÖTELEZŐ FELADATOK PÉNZÜGYI MÉRLEGE</t>
  </si>
  <si>
    <t>ÖNKÉNT VÁLLALT FELADATOK PÉNZÜGYI MÉRLEGE</t>
  </si>
  <si>
    <t>ÁLLAMIGAZGATÁSI FELADATOK PÉNZÜGYI MÉRLEGE</t>
  </si>
  <si>
    <t>A 2018. évi céljelleggel juttatott támogatások felhasználásáról</t>
  </si>
  <si>
    <t>2017. évi tény</t>
  </si>
  <si>
    <t>2018. évi</t>
  </si>
  <si>
    <t>2018. évi teljesítés</t>
  </si>
  <si>
    <t>Hitel, kölcsön állomány 2018. dec.31-én</t>
  </si>
  <si>
    <t>2020. után</t>
  </si>
  <si>
    <t>Adósság állomány alakulása lejárat, eszközök, bel- és külföldi hitelezők szerinti bontásban
2018. december 31-én</t>
  </si>
  <si>
    <t>2018. év</t>
  </si>
  <si>
    <t>kötelezettségek és részesedések alakulása 2018-ban</t>
  </si>
  <si>
    <t>Pénzkészlet 2018. január 1-jén
Ebből:</t>
  </si>
  <si>
    <t>Záró pénzkészlet 2018. december 31-én
Ebből:</t>
  </si>
  <si>
    <t xml:space="preserve">Hiány külső finanszírozásának bevételei (21.+…+23.) </t>
  </si>
  <si>
    <t>Hiány belső finanszírozásának bevételei (15.+…+19. )</t>
  </si>
  <si>
    <t>Működési célú finanszírozási kiadások összesen (13.+...+23.)</t>
  </si>
  <si>
    <t>Működési célú finanszírozási bevételek összesen (14.+20.)</t>
  </si>
  <si>
    <t>Kállósemjén Nagyközség Önkormányzata</t>
  </si>
  <si>
    <t>Kállósemjéni Polgármesteri /Közös Önkormányzati Hivatal</t>
  </si>
  <si>
    <t>Kommunális adó</t>
  </si>
  <si>
    <t>Központi irányítószervi támogatás</t>
  </si>
  <si>
    <t>Központi irányítószervi támogatás folyósítása</t>
  </si>
  <si>
    <t>Lekötött bankbetétek megszüntetése</t>
  </si>
  <si>
    <t xml:space="preserve">   Egyéb belső finanszírozási bevételek (ÁH-n belüli megelőlegezés, központi irányítószervi támogatás)</t>
  </si>
  <si>
    <t xml:space="preserve">   Betét visszavonásából származó bevétel (lekötött betét megszüntetése)</t>
  </si>
  <si>
    <t>ÁH-n belüli megelőlegezés visszafizetése</t>
  </si>
  <si>
    <t>KIADÁS ÖSSZESEN (13.+24.)</t>
  </si>
  <si>
    <t>Kállósemjéni Polgármesteri Hivatal</t>
  </si>
  <si>
    <t>Ficánka Óvoda, Mini Bölcsőde és Konyha</t>
  </si>
  <si>
    <t>bevételei, kiadási, hozzájárulások</t>
  </si>
  <si>
    <t>Háztartások</t>
  </si>
  <si>
    <t>visszatérítendő kölcsön</t>
  </si>
  <si>
    <t>Arany Alkony Nyugdíjas Klub</t>
  </si>
  <si>
    <t>visszatérítendő kölcsön (2018-ban vissza lett fizetve.)</t>
  </si>
  <si>
    <t>Kállósemjéni Sportegyesület</t>
  </si>
  <si>
    <t>támogatás</t>
  </si>
  <si>
    <t>Barta Nikoletta</t>
  </si>
  <si>
    <t>Kállósemjéni Kállay-kúria Nonprofit Kft.</t>
  </si>
  <si>
    <t>Kállósemjéni Polgárőr Egyesület</t>
  </si>
  <si>
    <t>Arcadelt Művészeti Egyesület</t>
  </si>
  <si>
    <t>Nyíri Alapfokú Művészeti Iskola</t>
  </si>
  <si>
    <t>Kállósemjéni Diákokért és Ifjakért Egyesület</t>
  </si>
  <si>
    <t>Kállay Miklós Általános Iskola Diáksport Egyesület</t>
  </si>
  <si>
    <t>Nőszirom Egyesület</t>
  </si>
  <si>
    <t>Mindösszesen:</t>
  </si>
  <si>
    <t>2018</t>
  </si>
  <si>
    <t>Kállósemjéni Szennyvíztisztító Telep Bővítése és korszerűsítése KEHOP-2.1.1-15-00004</t>
  </si>
  <si>
    <t>2017</t>
  </si>
  <si>
    <t>Konyha előtető készítés</t>
  </si>
  <si>
    <t>Általános Iskola energetikai korszerűsítése TOP-.2.1-15-SB1-2016-00011 "Önkormányzati épületek energetikai korszerűsítése"</t>
  </si>
  <si>
    <t>Széchenyi úti járda kivitelezése, felújítása</t>
  </si>
  <si>
    <t>Általános Iskola tetőjavítás</t>
  </si>
  <si>
    <t>Piricsei Pályázat: informatikai eszköz és egyéb tárgyi eszköz beszerzések (laptop, fényképezőgép)</t>
  </si>
  <si>
    <t>Könyvtár tárgyi eszköz beszerzés (billentyűzet, fejhallgató)</t>
  </si>
  <si>
    <t>Közművelődés tárgyi eszköz beszerzés (külső merevlemez, számítógép, sátor, pavilon, léghoki asztal, roller, asztal, szék)</t>
  </si>
  <si>
    <t>Nők a családban pályázat tárgyi eszköz beszerzések (nyomtató, álló szekrény, íróasztal)</t>
  </si>
  <si>
    <t>Magtárba router beszerzés</t>
  </si>
  <si>
    <t>Konyha tárgyi eszköz beszerzések (ruhatartó állvány, óra, polc, edényszárító, szúnyogháló, munkaasztal, tárolók, falipolc,tűzhely, mosogató, hústőke fej)</t>
  </si>
  <si>
    <t>Közmunkaprogramhoz tárgyi eszköz beszerzések (MWJ-368 gépjárműhöz motor, festőállvány, fűkasza, vágósablon, vágó és domborító gép, Volvo kotrórakodó)</t>
  </si>
  <si>
    <t>Védőnői szolgálat tárgyi eszköz beszerzések (szőnyeg, csecsemőmérleg)</t>
  </si>
  <si>
    <t>Ficáka Óvodába és Bölcsődébe tárgyi eszköz beszerzések (router, bölcsis asztal, bölcsis szék, fektető, csúszda, homokozó, tárgyalószék, hűtő, szárítógép, mosógép)</t>
  </si>
  <si>
    <t>Polgármesteri Hivatal tárgyi eszköz beszerzések (íróasztal, Panasonic telefonkészülék, telefonközpont, Canon faxkészülék, Sony mikrohifi, monitor, kártyaolvasó, Office 2016 beszerzés)</t>
  </si>
  <si>
    <t>Falunapra sörpad beszerzés</t>
  </si>
  <si>
    <t>Községgazdálkodáshoz tárgyi eszköz beszerzések (tablet, hímzett önkormányzati zászló, Idősbarát Önkormányzat pályázathoz kemence, Tehetségbarát Önkormányzat pályázathoz dámatábla)</t>
  </si>
  <si>
    <t>IV.26.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</si>
</sst>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0&quot;.&quot;"/>
    <numFmt numFmtId="175" formatCode="#,##0.0"/>
    <numFmt numFmtId="176" formatCode="00"/>
    <numFmt numFmtId="177" formatCode="#,###__;\-#,###__"/>
    <numFmt numFmtId="178" formatCode="#,###\ _F_t;\-#,###\ _F_t"/>
    <numFmt numFmtId="179" formatCode="#,###__"/>
  </numFmts>
  <fonts count="10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12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sz val="6.5"/>
      <name val="Times New Roman CE"/>
      <family val="0"/>
    </font>
    <font>
      <b/>
      <sz val="6.5"/>
      <name val="Times New Roman CE"/>
      <family val="0"/>
    </font>
    <font>
      <i/>
      <sz val="6.5"/>
      <name val="Times New Roman CE"/>
      <family val="0"/>
    </font>
    <font>
      <sz val="6"/>
      <name val="Times New Roman CE"/>
      <family val="0"/>
    </font>
    <font>
      <b/>
      <sz val="6"/>
      <name val="Times New Roman CE"/>
      <family val="0"/>
    </font>
    <font>
      <i/>
      <sz val="6"/>
      <name val="Times New Roman CE"/>
      <family val="0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i/>
      <sz val="8"/>
      <name val="Times New Roman"/>
      <family val="1"/>
    </font>
    <font>
      <b/>
      <i/>
      <sz val="7"/>
      <name val="Times New Roman"/>
      <family val="1"/>
    </font>
    <font>
      <sz val="7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8"/>
      <name val="Times New Roman CE"/>
      <family val="1"/>
    </font>
    <font>
      <sz val="10"/>
      <name val="Wingdings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8"/>
      <name val="Arial"/>
      <family val="2"/>
    </font>
    <font>
      <b/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 CE"/>
      <family val="0"/>
    </font>
    <font>
      <sz val="12"/>
      <color indexed="10"/>
      <name val="Times New Roman CE"/>
      <family val="0"/>
    </font>
    <font>
      <b/>
      <sz val="14"/>
      <color indexed="8"/>
      <name val="Times New Roman"/>
      <family val="1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FF0000"/>
      <name val="Times New Roman CE"/>
      <family val="0"/>
    </font>
    <font>
      <sz val="12"/>
      <color rgb="FFFF0000"/>
      <name val="Times New Roman CE"/>
      <family val="0"/>
    </font>
    <font>
      <b/>
      <sz val="14"/>
      <color rgb="FF000000"/>
      <name val="Times New Roman"/>
      <family val="1"/>
    </font>
    <font>
      <b/>
      <sz val="14"/>
      <color rgb="FFFF0000"/>
      <name val="Times New Roman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  <fill>
      <patternFill patternType="gray125">
        <bgColor indexed="47"/>
      </patternFill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2" fillId="20" borderId="1" applyNumberFormat="0" applyAlignment="0" applyProtection="0"/>
    <xf numFmtId="0" fontId="83" fillId="0" borderId="0" applyNumberFormat="0" applyFill="0" applyBorder="0" applyAlignment="0" applyProtection="0"/>
    <xf numFmtId="0" fontId="84" fillId="0" borderId="2" applyNumberFormat="0" applyFill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8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0" fillId="22" borderId="7" applyNumberFormat="0" applyFont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91" fillId="29" borderId="0" applyNumberFormat="0" applyBorder="0" applyAlignment="0" applyProtection="0"/>
    <xf numFmtId="0" fontId="92" fillId="30" borderId="8" applyNumberFormat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9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31" borderId="0" applyNumberFormat="0" applyBorder="0" applyAlignment="0" applyProtection="0"/>
    <xf numFmtId="0" fontId="97" fillId="32" borderId="0" applyNumberFormat="0" applyBorder="0" applyAlignment="0" applyProtection="0"/>
    <xf numFmtId="0" fontId="98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0">
    <xf numFmtId="0" fontId="0" fillId="0" borderId="0" xfId="0" applyAlignment="1">
      <alignment/>
    </xf>
    <xf numFmtId="166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66" fontId="13" fillId="0" borderId="11" xfId="0" applyNumberFormat="1" applyFont="1" applyFill="1" applyBorder="1" applyAlignment="1" applyProtection="1">
      <alignment vertical="center" wrapText="1"/>
      <protection locked="0"/>
    </xf>
    <xf numFmtId="166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 applyProtection="1">
      <alignment vertical="center" wrapText="1"/>
      <protection/>
    </xf>
    <xf numFmtId="166" fontId="13" fillId="0" borderId="26" xfId="0" applyNumberFormat="1" applyFont="1" applyFill="1" applyBorder="1" applyAlignment="1" applyProtection="1">
      <alignment vertical="center" wrapText="1"/>
      <protection/>
    </xf>
    <xf numFmtId="166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2" fillId="0" borderId="23" xfId="0" applyNumberFormat="1" applyFont="1" applyFill="1" applyBorder="1" applyAlignment="1" applyProtection="1">
      <alignment vertical="center" wrapText="1"/>
      <protection/>
    </xf>
    <xf numFmtId="166" fontId="12" fillId="0" borderId="27" xfId="0" applyNumberFormat="1" applyFont="1" applyFill="1" applyBorder="1" applyAlignment="1" applyProtection="1">
      <alignment vertical="center" wrapText="1"/>
      <protection/>
    </xf>
    <xf numFmtId="166" fontId="3" fillId="0" borderId="0" xfId="0" applyNumberFormat="1" applyFont="1" applyFill="1" applyAlignment="1">
      <alignment vertical="center" wrapText="1"/>
    </xf>
    <xf numFmtId="166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11" fillId="0" borderId="11" xfId="0" applyNumberFormat="1" applyFont="1" applyFill="1" applyBorder="1" applyAlignment="1" applyProtection="1">
      <alignment vertical="center" wrapText="1"/>
      <protection locked="0"/>
    </xf>
    <xf numFmtId="166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1" fillId="0" borderId="15" xfId="0" applyNumberFormat="1" applyFont="1" applyFill="1" applyBorder="1" applyAlignment="1" applyProtection="1">
      <alignment vertical="center" wrapText="1"/>
      <protection locked="0"/>
    </xf>
    <xf numFmtId="166" fontId="6" fillId="0" borderId="27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6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6" fontId="12" fillId="33" borderId="23" xfId="0" applyNumberFormat="1" applyFont="1" applyFill="1" applyBorder="1" applyAlignment="1" applyProtection="1">
      <alignment vertical="center" wrapText="1"/>
      <protection/>
    </xf>
    <xf numFmtId="166" fontId="6" fillId="33" borderId="23" xfId="0" applyNumberFormat="1" applyFont="1" applyFill="1" applyBorder="1" applyAlignment="1" applyProtection="1">
      <alignment vertical="center" wrapTex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6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30" xfId="0" applyFont="1" applyFill="1" applyBorder="1" applyAlignment="1" applyProtection="1">
      <alignment horizontal="right"/>
      <protection/>
    </xf>
    <xf numFmtId="0" fontId="13" fillId="0" borderId="31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28" xfId="60" applyFont="1" applyFill="1" applyBorder="1" applyAlignment="1" applyProtection="1">
      <alignment horizontal="left" vertical="center" wrapText="1" indent="6"/>
      <protection/>
    </xf>
    <xf numFmtId="0" fontId="24" fillId="0" borderId="0" xfId="0" applyFont="1" applyAlignment="1">
      <alignment/>
    </xf>
    <xf numFmtId="0" fontId="0" fillId="0" borderId="0" xfId="0" applyFill="1" applyAlignment="1" applyProtection="1">
      <alignment/>
      <protection locked="0"/>
    </xf>
    <xf numFmtId="166" fontId="13" fillId="0" borderId="11" xfId="0" applyNumberFormat="1" applyFont="1" applyFill="1" applyBorder="1" applyAlignment="1" applyProtection="1">
      <alignment vertical="center"/>
      <protection locked="0"/>
    </xf>
    <xf numFmtId="166" fontId="13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6" fillId="0" borderId="22" xfId="0" applyNumberFormat="1" applyFont="1" applyFill="1" applyBorder="1" applyAlignment="1" applyProtection="1">
      <alignment horizontal="left" vertical="center" wrapText="1"/>
      <protection/>
    </xf>
    <xf numFmtId="166" fontId="6" fillId="0" borderId="23" xfId="0" applyNumberFormat="1" applyFont="1" applyFill="1" applyBorder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2" fillId="0" borderId="32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2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3" fillId="0" borderId="17" xfId="0" applyFont="1" applyFill="1" applyBorder="1" applyAlignment="1" applyProtection="1">
      <alignment horizontal="center" vertical="center"/>
      <protection/>
    </xf>
    <xf numFmtId="166" fontId="12" fillId="0" borderId="26" xfId="0" applyNumberFormat="1" applyFont="1" applyFill="1" applyBorder="1" applyAlignment="1" applyProtection="1">
      <alignment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vertical="center" wrapText="1"/>
      <protection/>
    </xf>
    <xf numFmtId="166" fontId="12" fillId="0" borderId="23" xfId="0" applyNumberFormat="1" applyFont="1" applyFill="1" applyBorder="1" applyAlignment="1" applyProtection="1">
      <alignment vertical="center"/>
      <protection/>
    </xf>
    <xf numFmtId="166" fontId="12" fillId="0" borderId="27" xfId="0" applyNumberFormat="1" applyFont="1" applyFill="1" applyBorder="1" applyAlignment="1" applyProtection="1">
      <alignment vertical="center"/>
      <protection/>
    </xf>
    <xf numFmtId="166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34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4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37" xfId="0" applyFont="1" applyBorder="1" applyAlignment="1" applyProtection="1">
      <alignment horizontal="left" vertical="center" wrapText="1" indent="1"/>
      <protection/>
    </xf>
    <xf numFmtId="166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0" xfId="0" applyFont="1" applyFill="1" applyBorder="1" applyAlignment="1" applyProtection="1">
      <alignment horizontal="right" vertical="center"/>
      <protection/>
    </xf>
    <xf numFmtId="166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166" fontId="12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39" xfId="0" applyNumberForma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40" xfId="0" applyNumberForma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41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42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43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66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6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6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6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6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6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6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31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6" fontId="0" fillId="0" borderId="43" xfId="0" applyNumberFormat="1" applyFill="1" applyBorder="1" applyAlignment="1" applyProtection="1">
      <alignment horizontal="left" vertical="center" wrapText="1" indent="1"/>
      <protection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6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31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6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37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37" xfId="0" applyFont="1" applyBorder="1" applyAlignment="1" applyProtection="1">
      <alignment horizontal="center" vertical="center" wrapText="1"/>
      <protection/>
    </xf>
    <xf numFmtId="166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6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37" xfId="0" applyFont="1" applyBorder="1" applyAlignment="1" applyProtection="1">
      <alignment vertical="center" wrapText="1"/>
      <protection/>
    </xf>
    <xf numFmtId="166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37" xfId="60" applyFont="1" applyFill="1" applyBorder="1" applyAlignment="1" applyProtection="1">
      <alignment horizontal="left" vertical="center" wrapText="1" indent="1"/>
      <protection/>
    </xf>
    <xf numFmtId="0" fontId="12" fillId="0" borderId="31" xfId="60" applyFont="1" applyFill="1" applyBorder="1" applyAlignment="1" applyProtection="1">
      <alignment vertical="center" wrapText="1"/>
      <protection/>
    </xf>
    <xf numFmtId="0" fontId="13" fillId="0" borderId="28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6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6" fontId="12" fillId="0" borderId="46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49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33" xfId="0" applyNumberFormat="1" applyFont="1" applyBorder="1" applyAlignment="1" applyProtection="1">
      <alignment horizontal="right" vertical="center" wrapText="1" indent="1"/>
      <protection/>
    </xf>
    <xf numFmtId="166" fontId="17" fillId="0" borderId="33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33" xfId="0" applyNumberFormat="1" applyFont="1" applyBorder="1" applyAlignment="1" applyProtection="1" quotePrefix="1">
      <alignment horizontal="right" vertical="center" wrapText="1" indent="1"/>
      <protection/>
    </xf>
    <xf numFmtId="166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1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23" xfId="0" applyNumberFormat="1" applyFont="1" applyBorder="1" applyAlignment="1" applyProtection="1">
      <alignment horizontal="right" vertical="center" wrapText="1" indent="1"/>
      <protection/>
    </xf>
    <xf numFmtId="166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6" fillId="0" borderId="28" xfId="60" applyFont="1" applyFill="1" applyBorder="1" applyAlignment="1" applyProtection="1">
      <alignment horizontal="center" vertical="center" wrapText="1"/>
      <protection/>
    </xf>
    <xf numFmtId="0" fontId="6" fillId="0" borderId="50" xfId="60" applyFont="1" applyFill="1" applyBorder="1" applyAlignment="1" applyProtection="1">
      <alignment horizontal="center" vertical="center" wrapText="1"/>
      <protection/>
    </xf>
    <xf numFmtId="0" fontId="12" fillId="0" borderId="51" xfId="60" applyFont="1" applyFill="1" applyBorder="1" applyAlignment="1" applyProtection="1">
      <alignment horizontal="center" vertical="center" wrapText="1"/>
      <protection/>
    </xf>
    <xf numFmtId="166" fontId="12" fillId="0" borderId="52" xfId="60" applyNumberFormat="1" applyFont="1" applyFill="1" applyBorder="1" applyAlignment="1" applyProtection="1">
      <alignment horizontal="right" vertical="center" wrapText="1" indent="1"/>
      <protection/>
    </xf>
    <xf numFmtId="166" fontId="12" fillId="0" borderId="32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3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2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32" xfId="0" applyNumberFormat="1" applyFont="1" applyBorder="1" applyAlignment="1" applyProtection="1">
      <alignment horizontal="right" vertical="center" wrapText="1" indent="1"/>
      <protection/>
    </xf>
    <xf numFmtId="166" fontId="17" fillId="0" borderId="32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32" xfId="0" applyNumberFormat="1" applyFont="1" applyBorder="1" applyAlignment="1" applyProtection="1" quotePrefix="1">
      <alignment horizontal="right" vertical="center" wrapText="1" indent="1"/>
      <protection/>
    </xf>
    <xf numFmtId="0" fontId="12" fillId="0" borderId="32" xfId="60" applyFont="1" applyFill="1" applyBorder="1" applyAlignment="1" applyProtection="1">
      <alignment horizontal="center" vertical="center" wrapText="1"/>
      <protection/>
    </xf>
    <xf numFmtId="166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2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3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66" fontId="12" fillId="0" borderId="42" xfId="0" applyNumberFormat="1" applyFont="1" applyFill="1" applyBorder="1" applyAlignment="1">
      <alignment horizontal="center" vertical="center"/>
    </xf>
    <xf numFmtId="166" fontId="12" fillId="0" borderId="42" xfId="0" applyNumberFormat="1" applyFont="1" applyFill="1" applyBorder="1" applyAlignment="1">
      <alignment horizontal="center" vertical="center" wrapText="1"/>
    </xf>
    <xf numFmtId="166" fontId="12" fillId="0" borderId="55" xfId="0" applyNumberFormat="1" applyFont="1" applyFill="1" applyBorder="1" applyAlignment="1">
      <alignment horizontal="center" vertical="center"/>
    </xf>
    <xf numFmtId="166" fontId="12" fillId="0" borderId="56" xfId="0" applyNumberFormat="1" applyFont="1" applyFill="1" applyBorder="1" applyAlignment="1">
      <alignment horizontal="center" vertical="center"/>
    </xf>
    <xf numFmtId="166" fontId="12" fillId="0" borderId="56" xfId="0" applyNumberFormat="1" applyFont="1" applyFill="1" applyBorder="1" applyAlignment="1">
      <alignment horizontal="center" vertical="center" wrapText="1"/>
    </xf>
    <xf numFmtId="49" fontId="13" fillId="0" borderId="57" xfId="0" applyNumberFormat="1" applyFont="1" applyFill="1" applyBorder="1" applyAlignment="1">
      <alignment horizontal="left" vertical="center"/>
    </xf>
    <xf numFmtId="3" fontId="13" fillId="0" borderId="58" xfId="0" applyNumberFormat="1" applyFont="1" applyFill="1" applyBorder="1" applyAlignment="1" applyProtection="1">
      <alignment horizontal="right" vertical="center" wrapText="1"/>
      <protection locked="0"/>
    </xf>
    <xf numFmtId="49" fontId="18" fillId="0" borderId="59" xfId="0" applyNumberFormat="1" applyFont="1" applyFill="1" applyBorder="1" applyAlignment="1" quotePrefix="1">
      <alignment horizontal="left" vertical="center" indent="1"/>
    </xf>
    <xf numFmtId="49" fontId="13" fillId="0" borderId="59" xfId="0" applyNumberFormat="1" applyFont="1" applyFill="1" applyBorder="1" applyAlignment="1">
      <alignment horizontal="left" vertical="center"/>
    </xf>
    <xf numFmtId="49" fontId="13" fillId="0" borderId="60" xfId="0" applyNumberFormat="1" applyFont="1" applyFill="1" applyBorder="1" applyAlignment="1" applyProtection="1">
      <alignment horizontal="left" vertical="center"/>
      <protection locked="0"/>
    </xf>
    <xf numFmtId="3" fontId="13" fillId="0" borderId="61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62" xfId="0" applyNumberFormat="1" applyFont="1" applyFill="1" applyBorder="1" applyAlignment="1" applyProtection="1">
      <alignment horizontal="left" vertical="center" indent="1"/>
      <protection locked="0"/>
    </xf>
    <xf numFmtId="49" fontId="12" fillId="0" borderId="63" xfId="0" applyNumberFormat="1" applyFont="1" applyFill="1" applyBorder="1" applyAlignment="1" applyProtection="1">
      <alignment vertical="center"/>
      <protection locked="0"/>
    </xf>
    <xf numFmtId="49" fontId="12" fillId="0" borderId="63" xfId="0" applyNumberFormat="1" applyFont="1" applyFill="1" applyBorder="1" applyAlignment="1" applyProtection="1">
      <alignment horizontal="right" vertical="center"/>
      <protection locked="0"/>
    </xf>
    <xf numFmtId="3" fontId="13" fillId="0" borderId="63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30" xfId="0" applyNumberFormat="1" applyFont="1" applyFill="1" applyBorder="1" applyAlignment="1" applyProtection="1">
      <alignment vertical="center"/>
      <protection locked="0"/>
    </xf>
    <xf numFmtId="49" fontId="12" fillId="0" borderId="30" xfId="0" applyNumberFormat="1" applyFont="1" applyFill="1" applyBorder="1" applyAlignment="1" applyProtection="1">
      <alignment horizontal="right" vertical="center"/>
      <protection locked="0"/>
    </xf>
    <xf numFmtId="3" fontId="13" fillId="0" borderId="30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18" xfId="0" applyNumberFormat="1" applyFont="1" applyFill="1" applyBorder="1" applyAlignment="1">
      <alignment horizontal="left" vertical="center"/>
    </xf>
    <xf numFmtId="49" fontId="13" fillId="0" borderId="17" xfId="0" applyNumberFormat="1" applyFont="1" applyFill="1" applyBorder="1" applyAlignment="1">
      <alignment horizontal="left" vertical="center"/>
    </xf>
    <xf numFmtId="49" fontId="13" fillId="0" borderId="19" xfId="0" applyNumberFormat="1" applyFont="1" applyFill="1" applyBorder="1" applyAlignment="1" applyProtection="1">
      <alignment horizontal="left" vertical="center"/>
      <protection locked="0"/>
    </xf>
    <xf numFmtId="175" fontId="12" fillId="0" borderId="42" xfId="0" applyNumberFormat="1" applyFont="1" applyFill="1" applyBorder="1" applyAlignment="1">
      <alignment horizontal="left" vertical="center" wrapText="1" indent="1"/>
    </xf>
    <xf numFmtId="175" fontId="26" fillId="0" borderId="0" xfId="0" applyNumberFormat="1" applyFont="1" applyFill="1" applyBorder="1" applyAlignment="1">
      <alignment horizontal="left" vertical="center" wrapText="1"/>
    </xf>
    <xf numFmtId="166" fontId="12" fillId="0" borderId="42" xfId="0" applyNumberFormat="1" applyFont="1" applyFill="1" applyBorder="1" applyAlignment="1">
      <alignment horizontal="center" vertical="center" wrapText="1"/>
    </xf>
    <xf numFmtId="3" fontId="13" fillId="0" borderId="39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64" xfId="0" applyNumberFormat="1" applyFont="1" applyFill="1" applyBorder="1" applyAlignment="1" applyProtection="1">
      <alignment horizontal="right" vertical="center" wrapText="1"/>
      <protection locked="0"/>
    </xf>
    <xf numFmtId="166" fontId="12" fillId="0" borderId="42" xfId="0" applyNumberFormat="1" applyFont="1" applyFill="1" applyBorder="1" applyAlignment="1">
      <alignment horizontal="right" vertical="center" wrapText="1"/>
    </xf>
    <xf numFmtId="0" fontId="12" fillId="0" borderId="65" xfId="0" applyFont="1" applyFill="1" applyBorder="1" applyAlignment="1" applyProtection="1">
      <alignment horizontal="center" vertical="center" wrapText="1"/>
      <protection/>
    </xf>
    <xf numFmtId="166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3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2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5" xfId="0" applyFont="1" applyBorder="1" applyAlignment="1" applyProtection="1">
      <alignment horizontal="left" indent="1"/>
      <protection/>
    </xf>
    <xf numFmtId="0" fontId="3" fillId="0" borderId="22" xfId="0" applyFont="1" applyBorder="1" applyAlignment="1">
      <alignment horizontal="left" vertical="center"/>
    </xf>
    <xf numFmtId="0" fontId="3" fillId="0" borderId="32" xfId="0" applyFont="1" applyBorder="1" applyAlignment="1">
      <alignment vertical="center" wrapText="1"/>
    </xf>
    <xf numFmtId="0" fontId="3" fillId="0" borderId="37" xfId="0" applyFont="1" applyBorder="1" applyAlignment="1">
      <alignment horizontal="left" vertical="center"/>
    </xf>
    <xf numFmtId="0" fontId="3" fillId="0" borderId="66" xfId="0" applyFont="1" applyBorder="1" applyAlignment="1">
      <alignment vertical="center" wrapText="1"/>
    </xf>
    <xf numFmtId="166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6" fillId="0" borderId="33" xfId="0" applyNumberFormat="1" applyFont="1" applyFill="1" applyBorder="1" applyAlignment="1" applyProtection="1">
      <alignment horizontal="right" vertical="center" wrapText="1" indent="1"/>
      <protection/>
    </xf>
    <xf numFmtId="3" fontId="28" fillId="0" borderId="67" xfId="0" applyNumberFormat="1" applyFont="1" applyFill="1" applyBorder="1" applyAlignment="1" applyProtection="1">
      <alignment horizontal="right" vertical="center"/>
      <protection locked="0"/>
    </xf>
    <xf numFmtId="3" fontId="28" fillId="0" borderId="67" xfId="0" applyNumberFormat="1" applyFont="1" applyFill="1" applyBorder="1" applyAlignment="1" applyProtection="1">
      <alignment horizontal="right" vertical="center" wrapText="1"/>
      <protection locked="0"/>
    </xf>
    <xf numFmtId="3" fontId="28" fillId="0" borderId="58" xfId="0" applyNumberFormat="1" applyFont="1" applyFill="1" applyBorder="1" applyAlignment="1" applyProtection="1">
      <alignment horizontal="right" vertical="center" wrapText="1"/>
      <protection locked="0"/>
    </xf>
    <xf numFmtId="166" fontId="29" fillId="0" borderId="58" xfId="0" applyNumberFormat="1" applyFont="1" applyFill="1" applyBorder="1" applyAlignment="1">
      <alignment horizontal="right" vertical="center" wrapText="1"/>
    </xf>
    <xf numFmtId="4" fontId="29" fillId="0" borderId="58" xfId="0" applyNumberFormat="1" applyFont="1" applyFill="1" applyBorder="1" applyAlignment="1">
      <alignment horizontal="right" vertical="center" wrapText="1"/>
    </xf>
    <xf numFmtId="3" fontId="30" fillId="0" borderId="40" xfId="0" applyNumberFormat="1" applyFont="1" applyFill="1" applyBorder="1" applyAlignment="1" applyProtection="1">
      <alignment horizontal="right" vertical="center"/>
      <protection locked="0"/>
    </xf>
    <xf numFmtId="3" fontId="30" fillId="0" borderId="40" xfId="0" applyNumberFormat="1" applyFont="1" applyFill="1" applyBorder="1" applyAlignment="1" applyProtection="1">
      <alignment horizontal="right" vertical="center" wrapText="1"/>
      <protection locked="0"/>
    </xf>
    <xf numFmtId="166" fontId="29" fillId="0" borderId="40" xfId="0" applyNumberFormat="1" applyFont="1" applyFill="1" applyBorder="1" applyAlignment="1">
      <alignment horizontal="right" vertical="center" wrapText="1"/>
    </xf>
    <xf numFmtId="4" fontId="29" fillId="0" borderId="40" xfId="0" applyNumberFormat="1" applyFont="1" applyFill="1" applyBorder="1" applyAlignment="1">
      <alignment horizontal="right" vertical="center" wrapText="1"/>
    </xf>
    <xf numFmtId="3" fontId="28" fillId="0" borderId="40" xfId="0" applyNumberFormat="1" applyFont="1" applyFill="1" applyBorder="1" applyAlignment="1" applyProtection="1">
      <alignment horizontal="right" vertical="center"/>
      <protection locked="0"/>
    </xf>
    <xf numFmtId="3" fontId="28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28" fillId="0" borderId="61" xfId="0" applyNumberFormat="1" applyFont="1" applyFill="1" applyBorder="1" applyAlignment="1" applyProtection="1">
      <alignment horizontal="right" vertical="center"/>
      <protection locked="0"/>
    </xf>
    <xf numFmtId="3" fontId="28" fillId="0" borderId="61" xfId="0" applyNumberFormat="1" applyFont="1" applyFill="1" applyBorder="1" applyAlignment="1" applyProtection="1">
      <alignment horizontal="right" vertical="center" wrapText="1"/>
      <protection locked="0"/>
    </xf>
    <xf numFmtId="4" fontId="29" fillId="0" borderId="64" xfId="0" applyNumberFormat="1" applyFont="1" applyFill="1" applyBorder="1" applyAlignment="1">
      <alignment horizontal="right" vertical="center" wrapText="1"/>
    </xf>
    <xf numFmtId="166" fontId="29" fillId="0" borderId="42" xfId="0" applyNumberFormat="1" applyFont="1" applyFill="1" applyBorder="1" applyAlignment="1">
      <alignment vertical="center"/>
    </xf>
    <xf numFmtId="4" fontId="28" fillId="0" borderId="42" xfId="0" applyNumberFormat="1" applyFont="1" applyFill="1" applyBorder="1" applyAlignment="1" applyProtection="1">
      <alignment vertical="center" wrapText="1"/>
      <protection locked="0"/>
    </xf>
    <xf numFmtId="3" fontId="31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67" xfId="0" applyNumberFormat="1" applyFont="1" applyFill="1" applyBorder="1" applyAlignment="1" applyProtection="1">
      <alignment horizontal="right" vertical="center"/>
      <protection locked="0"/>
    </xf>
    <xf numFmtId="3" fontId="31" fillId="0" borderId="67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58" xfId="0" applyNumberFormat="1" applyFont="1" applyFill="1" applyBorder="1" applyAlignment="1" applyProtection="1">
      <alignment horizontal="right" vertical="center" wrapText="1"/>
      <protection locked="0"/>
    </xf>
    <xf numFmtId="166" fontId="32" fillId="0" borderId="67" xfId="0" applyNumberFormat="1" applyFont="1" applyFill="1" applyBorder="1" applyAlignment="1" applyProtection="1">
      <alignment horizontal="right" vertical="center" wrapText="1"/>
      <protection/>
    </xf>
    <xf numFmtId="4" fontId="32" fillId="0" borderId="58" xfId="0" applyNumberFormat="1" applyFont="1" applyFill="1" applyBorder="1" applyAlignment="1">
      <alignment horizontal="right" vertical="center" wrapText="1"/>
    </xf>
    <xf numFmtId="3" fontId="33" fillId="0" borderId="40" xfId="0" applyNumberFormat="1" applyFont="1" applyFill="1" applyBorder="1" applyAlignment="1" applyProtection="1">
      <alignment horizontal="right" vertical="center"/>
      <protection locked="0"/>
    </xf>
    <xf numFmtId="166" fontId="32" fillId="0" borderId="40" xfId="0" applyNumberFormat="1" applyFont="1" applyFill="1" applyBorder="1" applyAlignment="1" applyProtection="1">
      <alignment horizontal="right" vertical="center" wrapText="1"/>
      <protection/>
    </xf>
    <xf numFmtId="4" fontId="32" fillId="0" borderId="40" xfId="0" applyNumberFormat="1" applyFont="1" applyFill="1" applyBorder="1" applyAlignment="1">
      <alignment horizontal="right" vertical="center" wrapText="1"/>
    </xf>
    <xf numFmtId="3" fontId="31" fillId="0" borderId="40" xfId="0" applyNumberFormat="1" applyFont="1" applyFill="1" applyBorder="1" applyAlignment="1" applyProtection="1">
      <alignment horizontal="right" vertical="center"/>
      <protection locked="0"/>
    </xf>
    <xf numFmtId="3" fontId="31" fillId="0" borderId="61" xfId="0" applyNumberFormat="1" applyFont="1" applyFill="1" applyBorder="1" applyAlignment="1" applyProtection="1">
      <alignment horizontal="right" vertical="center"/>
      <protection locked="0"/>
    </xf>
    <xf numFmtId="3" fontId="31" fillId="0" borderId="61" xfId="0" applyNumberFormat="1" applyFont="1" applyFill="1" applyBorder="1" applyAlignment="1" applyProtection="1">
      <alignment horizontal="right" vertical="center" wrapText="1"/>
      <protection locked="0"/>
    </xf>
    <xf numFmtId="4" fontId="32" fillId="0" borderId="64" xfId="0" applyNumberFormat="1" applyFont="1" applyFill="1" applyBorder="1" applyAlignment="1">
      <alignment horizontal="right" vertical="center" wrapText="1"/>
    </xf>
    <xf numFmtId="166" fontId="32" fillId="0" borderId="42" xfId="0" applyNumberFormat="1" applyFont="1" applyFill="1" applyBorder="1" applyAlignment="1">
      <alignment vertical="center"/>
    </xf>
    <xf numFmtId="4" fontId="31" fillId="0" borderId="42" xfId="0" applyNumberFormat="1" applyFont="1" applyFill="1" applyBorder="1" applyAlignment="1" applyProtection="1">
      <alignment vertical="center" wrapText="1"/>
      <protection locked="0"/>
    </xf>
    <xf numFmtId="0" fontId="16" fillId="0" borderId="12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vertical="center" wrapText="1" indent="1"/>
    </xf>
    <xf numFmtId="0" fontId="6" fillId="0" borderId="68" xfId="60" applyFont="1" applyFill="1" applyBorder="1" applyAlignment="1" applyProtection="1">
      <alignment horizontal="center" vertical="center" wrapText="1"/>
      <protection locked="0"/>
    </xf>
    <xf numFmtId="166" fontId="6" fillId="0" borderId="3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7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42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42" xfId="0" applyNumberFormat="1" applyFont="1" applyFill="1" applyBorder="1" applyAlignment="1" applyProtection="1">
      <alignment horizontal="center" vertical="center"/>
      <protection locked="0"/>
    </xf>
    <xf numFmtId="0" fontId="6" fillId="0" borderId="46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19" fillId="0" borderId="0" xfId="0" applyFont="1" applyAlignment="1">
      <alignment/>
    </xf>
    <xf numFmtId="0" fontId="13" fillId="0" borderId="28" xfId="60" applyFont="1" applyFill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 locked="0"/>
    </xf>
    <xf numFmtId="0" fontId="2" fillId="0" borderId="0" xfId="60" applyFont="1" applyFill="1" applyAlignment="1" applyProtection="1">
      <alignment horizontal="right" vertical="center" indent="1"/>
      <protection locked="0"/>
    </xf>
    <xf numFmtId="0" fontId="2" fillId="0" borderId="0" xfId="60" applyFill="1" applyProtection="1">
      <alignment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16" fillId="0" borderId="28" xfId="0" applyFont="1" applyBorder="1" applyAlignment="1" applyProtection="1">
      <alignment wrapText="1"/>
      <protection/>
    </xf>
    <xf numFmtId="166" fontId="13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0" xfId="0" applyNumberFormat="1" applyFont="1" applyFill="1" applyAlignment="1" applyProtection="1">
      <alignment horizontal="left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49" fontId="6" fillId="0" borderId="33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6" fillId="0" borderId="62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42" xfId="0" applyFont="1" applyFill="1" applyBorder="1" applyAlignment="1" applyProtection="1">
      <alignment horizontal="center" vertical="center" wrapText="1"/>
      <protection locked="0"/>
    </xf>
    <xf numFmtId="0" fontId="6" fillId="0" borderId="42" xfId="0" applyFont="1" applyFill="1" applyBorder="1" applyAlignment="1" applyProtection="1" quotePrefix="1">
      <alignment horizontal="right" vertical="center" indent="1"/>
      <protection locked="0"/>
    </xf>
    <xf numFmtId="49" fontId="6" fillId="0" borderId="42" xfId="0" applyNumberFormat="1" applyFont="1" applyFill="1" applyBorder="1" applyAlignment="1" applyProtection="1">
      <alignment horizontal="right" vertical="center" indent="1"/>
      <protection locked="0"/>
    </xf>
    <xf numFmtId="166" fontId="11" fillId="0" borderId="0" xfId="0" applyNumberFormat="1" applyFont="1" applyFill="1" applyAlignment="1" applyProtection="1">
      <alignment vertical="center" wrapText="1"/>
      <protection locked="0"/>
    </xf>
    <xf numFmtId="166" fontId="2" fillId="0" borderId="0" xfId="0" applyNumberFormat="1" applyFont="1" applyFill="1" applyAlignment="1" applyProtection="1">
      <alignment vertical="center" wrapText="1"/>
      <protection locked="0"/>
    </xf>
    <xf numFmtId="0" fontId="4" fillId="0" borderId="0" xfId="0" applyNumberFormat="1" applyFont="1" applyFill="1" applyAlignment="1" applyProtection="1">
      <alignment horizontal="right"/>
      <protection locked="0"/>
    </xf>
    <xf numFmtId="166" fontId="8" fillId="0" borderId="0" xfId="0" applyNumberFormat="1" applyFont="1" applyFill="1" applyAlignment="1" applyProtection="1">
      <alignment vertical="center" wrapText="1"/>
      <protection locked="0"/>
    </xf>
    <xf numFmtId="166" fontId="0" fillId="0" borderId="0" xfId="0" applyNumberFormat="1" applyFill="1" applyAlignment="1" applyProtection="1">
      <alignment horizontal="center" vertical="center" wrapText="1"/>
      <protection locked="0"/>
    </xf>
    <xf numFmtId="166" fontId="0" fillId="0" borderId="0" xfId="0" applyNumberFormat="1" applyFill="1" applyAlignment="1" applyProtection="1">
      <alignment vertical="center" wrapText="1"/>
      <protection locked="0"/>
    </xf>
    <xf numFmtId="166" fontId="4" fillId="0" borderId="0" xfId="0" applyNumberFormat="1" applyFont="1" applyFill="1" applyAlignment="1" applyProtection="1">
      <alignment horizontal="right" wrapText="1"/>
      <protection locked="0"/>
    </xf>
    <xf numFmtId="166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37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31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69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0" xfId="0" applyNumberFormat="1" applyFont="1" applyFill="1" applyAlignment="1" applyProtection="1">
      <alignment horizontal="centerContinuous" vertical="center" wrapText="1"/>
      <protection locked="0"/>
    </xf>
    <xf numFmtId="166" fontId="0" fillId="0" borderId="0" xfId="0" applyNumberFormat="1" applyFill="1" applyAlignment="1" applyProtection="1">
      <alignment horizontal="centerContinuous" vertical="center"/>
      <protection locked="0"/>
    </xf>
    <xf numFmtId="166" fontId="4" fillId="0" borderId="0" xfId="0" applyNumberFormat="1" applyFont="1" applyFill="1" applyAlignment="1" applyProtection="1">
      <alignment horizontal="right" vertical="center"/>
      <protection locked="0"/>
    </xf>
    <xf numFmtId="166" fontId="6" fillId="0" borderId="22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32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27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63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46" xfId="0" applyNumberFormat="1" applyFont="1" applyFill="1" applyBorder="1" applyAlignment="1" applyProtection="1">
      <alignment horizontal="centerContinuous" vertical="center" wrapText="1"/>
      <protection locked="0"/>
    </xf>
    <xf numFmtId="166" fontId="12" fillId="0" borderId="42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51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32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12" fillId="0" borderId="65" xfId="0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6" fillId="0" borderId="68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166" fontId="13" fillId="34" borderId="11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5" xfId="0" applyFont="1" applyBorder="1" applyAlignment="1" applyProtection="1">
      <alignment horizontal="left" vertical="center" wrapText="1"/>
      <protection/>
    </xf>
    <xf numFmtId="166" fontId="13" fillId="34" borderId="15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>
      <alignment horizontal="left" wrapText="1"/>
    </xf>
    <xf numFmtId="0" fontId="16" fillId="0" borderId="10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8" xfId="0" applyFont="1" applyBorder="1" applyAlignment="1" applyProtection="1">
      <alignment vertical="center" wrapText="1"/>
      <protection/>
    </xf>
    <xf numFmtId="0" fontId="16" fillId="0" borderId="17" xfId="0" applyFont="1" applyBorder="1" applyAlignment="1" applyProtection="1">
      <alignment vertical="center" wrapText="1"/>
      <protection/>
    </xf>
    <xf numFmtId="0" fontId="16" fillId="0" borderId="19" xfId="0" applyFont="1" applyBorder="1" applyAlignment="1" applyProtection="1">
      <alignment vertical="center" wrapText="1"/>
      <protection/>
    </xf>
    <xf numFmtId="0" fontId="17" fillId="0" borderId="23" xfId="0" applyFont="1" applyBorder="1" applyAlignment="1" applyProtection="1">
      <alignment vertical="center" wrapText="1"/>
      <protection/>
    </xf>
    <xf numFmtId="0" fontId="17" fillId="0" borderId="31" xfId="0" applyFont="1" applyBorder="1" applyAlignment="1" applyProtection="1">
      <alignment vertical="center" wrapText="1"/>
      <protection/>
    </xf>
    <xf numFmtId="166" fontId="20" fillId="0" borderId="30" xfId="60" applyNumberFormat="1" applyFont="1" applyFill="1" applyBorder="1" applyAlignment="1" applyProtection="1">
      <alignment/>
      <protection/>
    </xf>
    <xf numFmtId="0" fontId="12" fillId="0" borderId="33" xfId="60" applyFont="1" applyFill="1" applyBorder="1" applyAlignment="1" applyProtection="1">
      <alignment horizontal="center" vertical="center" wrapText="1"/>
      <protection/>
    </xf>
    <xf numFmtId="0" fontId="13" fillId="0" borderId="13" xfId="60" applyFont="1" applyFill="1" applyBorder="1" applyAlignment="1" applyProtection="1">
      <alignment horizontal="left" vertical="center" wrapText="1"/>
      <protection/>
    </xf>
    <xf numFmtId="0" fontId="13" fillId="0" borderId="11" xfId="60" applyFont="1" applyFill="1" applyBorder="1" applyAlignment="1" applyProtection="1">
      <alignment horizontal="left" vertical="center" wrapText="1"/>
      <protection/>
    </xf>
    <xf numFmtId="0" fontId="13" fillId="0" borderId="14" xfId="60" applyFont="1" applyFill="1" applyBorder="1" applyAlignment="1" applyProtection="1">
      <alignment horizontal="left" vertical="center" wrapText="1"/>
      <protection/>
    </xf>
    <xf numFmtId="0" fontId="13" fillId="0" borderId="0" xfId="60" applyFont="1" applyFill="1" applyBorder="1" applyAlignment="1" applyProtection="1">
      <alignment horizontal="left" vertical="center" wrapText="1"/>
      <protection/>
    </xf>
    <xf numFmtId="0" fontId="13" fillId="0" borderId="11" xfId="60" applyFont="1" applyFill="1" applyBorder="1" applyAlignment="1" applyProtection="1">
      <alignment horizontal="left" vertical="center"/>
      <protection/>
    </xf>
    <xf numFmtId="0" fontId="13" fillId="0" borderId="15" xfId="60" applyFont="1" applyFill="1" applyBorder="1" applyAlignment="1" applyProtection="1">
      <alignment horizontal="left" vertical="center" wrapText="1"/>
      <protection/>
    </xf>
    <xf numFmtId="0" fontId="13" fillId="0" borderId="28" xfId="60" applyFont="1" applyFill="1" applyBorder="1" applyAlignment="1" applyProtection="1">
      <alignment horizontal="left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/>
      <protection/>
    </xf>
    <xf numFmtId="0" fontId="2" fillId="0" borderId="0" xfId="60" applyFill="1" applyAlignment="1" applyProtection="1">
      <alignment horizontal="left" vertical="center" indent="1"/>
      <protection/>
    </xf>
    <xf numFmtId="0" fontId="12" fillId="0" borderId="23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/>
      <protection/>
    </xf>
    <xf numFmtId="0" fontId="15" fillId="0" borderId="31" xfId="0" applyFont="1" applyBorder="1" applyAlignment="1" applyProtection="1">
      <alignment horizontal="left" vertical="center" wrapText="1"/>
      <protection/>
    </xf>
    <xf numFmtId="166" fontId="6" fillId="0" borderId="70" xfId="0" applyNumberFormat="1" applyFont="1" applyFill="1" applyBorder="1" applyAlignment="1" applyProtection="1">
      <alignment horizontal="centerContinuous" vertical="center"/>
      <protection/>
    </xf>
    <xf numFmtId="166" fontId="6" fillId="0" borderId="71" xfId="0" applyNumberFormat="1" applyFont="1" applyFill="1" applyBorder="1" applyAlignment="1" applyProtection="1">
      <alignment horizontal="centerContinuous" vertical="center"/>
      <protection/>
    </xf>
    <xf numFmtId="166" fontId="6" fillId="0" borderId="47" xfId="0" applyNumberFormat="1" applyFont="1" applyFill="1" applyBorder="1" applyAlignment="1" applyProtection="1">
      <alignment horizontal="centerContinuous" vertical="center"/>
      <protection/>
    </xf>
    <xf numFmtId="166" fontId="19" fillId="0" borderId="0" xfId="0" applyNumberFormat="1" applyFont="1" applyFill="1" applyAlignment="1">
      <alignment vertical="center"/>
    </xf>
    <xf numFmtId="166" fontId="6" fillId="0" borderId="72" xfId="0" applyNumberFormat="1" applyFont="1" applyFill="1" applyBorder="1" applyAlignment="1" applyProtection="1">
      <alignment horizontal="center" vertical="center"/>
      <protection/>
    </xf>
    <xf numFmtId="166" fontId="6" fillId="0" borderId="73" xfId="0" applyNumberFormat="1" applyFont="1" applyFill="1" applyBorder="1" applyAlignment="1" applyProtection="1">
      <alignment horizontal="center" vertical="center"/>
      <protection/>
    </xf>
    <xf numFmtId="166" fontId="6" fillId="0" borderId="68" xfId="0" applyNumberFormat="1" applyFont="1" applyFill="1" applyBorder="1" applyAlignment="1" applyProtection="1">
      <alignment horizontal="center" vertical="center" wrapText="1"/>
      <protection/>
    </xf>
    <xf numFmtId="166" fontId="19" fillId="0" borderId="0" xfId="0" applyNumberFormat="1" applyFont="1" applyFill="1" applyAlignment="1">
      <alignment horizontal="center" vertical="center"/>
    </xf>
    <xf numFmtId="166" fontId="12" fillId="0" borderId="62" xfId="0" applyNumberFormat="1" applyFont="1" applyFill="1" applyBorder="1" applyAlignment="1" applyProtection="1">
      <alignment horizontal="center" vertical="center" wrapText="1"/>
      <protection/>
    </xf>
    <xf numFmtId="166" fontId="12" fillId="0" borderId="23" xfId="0" applyNumberFormat="1" applyFont="1" applyFill="1" applyBorder="1" applyAlignment="1" applyProtection="1">
      <alignment horizontal="center" vertical="center" wrapText="1"/>
      <protection/>
    </xf>
    <xf numFmtId="166" fontId="12" fillId="0" borderId="52" xfId="0" applyNumberFormat="1" applyFont="1" applyFill="1" applyBorder="1" applyAlignment="1" applyProtection="1">
      <alignment horizontal="center" vertical="center" wrapText="1"/>
      <protection/>
    </xf>
    <xf numFmtId="166" fontId="12" fillId="0" borderId="43" xfId="0" applyNumberFormat="1" applyFont="1" applyFill="1" applyBorder="1" applyAlignment="1" applyProtection="1">
      <alignment horizontal="center" vertical="center" wrapText="1"/>
      <protection/>
    </xf>
    <xf numFmtId="166" fontId="12" fillId="0" borderId="0" xfId="0" applyNumberFormat="1" applyFont="1" applyFill="1" applyAlignment="1">
      <alignment horizontal="center" vertical="center" wrapText="1"/>
    </xf>
    <xf numFmtId="166" fontId="12" fillId="0" borderId="20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13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3" xfId="0" applyNumberFormat="1" applyFont="1" applyFill="1" applyBorder="1" applyAlignment="1" applyProtection="1">
      <alignment horizontal="center" vertical="center" wrapText="1"/>
      <protection/>
    </xf>
    <xf numFmtId="166" fontId="12" fillId="0" borderId="13" xfId="0" applyNumberFormat="1" applyFont="1" applyFill="1" applyBorder="1" applyAlignment="1" applyProtection="1">
      <alignment vertical="center" wrapText="1"/>
      <protection/>
    </xf>
    <xf numFmtId="166" fontId="12" fillId="0" borderId="70" xfId="0" applyNumberFormat="1" applyFont="1" applyFill="1" applyBorder="1" applyAlignment="1" applyProtection="1">
      <alignment vertical="center" wrapText="1"/>
      <protection/>
    </xf>
    <xf numFmtId="166" fontId="12" fillId="0" borderId="58" xfId="0" applyNumberFormat="1" applyFont="1" applyFill="1" applyBorder="1" applyAlignment="1" applyProtection="1">
      <alignment vertical="center" wrapText="1"/>
      <protection/>
    </xf>
    <xf numFmtId="166" fontId="12" fillId="0" borderId="17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38" xfId="0" applyNumberFormat="1" applyFont="1" applyFill="1" applyBorder="1" applyAlignment="1" applyProtection="1">
      <alignment vertical="center" wrapText="1"/>
      <protection locked="0"/>
    </xf>
    <xf numFmtId="166" fontId="13" fillId="0" borderId="40" xfId="0" applyNumberFormat="1" applyFont="1" applyFill="1" applyBorder="1" applyAlignment="1" applyProtection="1">
      <alignment vertical="center" wrapText="1"/>
      <protection/>
    </xf>
    <xf numFmtId="166" fontId="12" fillId="0" borderId="11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1" xfId="0" applyNumberFormat="1" applyFont="1" applyFill="1" applyBorder="1" applyAlignment="1" applyProtection="1">
      <alignment horizontal="center" vertical="center" wrapText="1"/>
      <protection/>
    </xf>
    <xf numFmtId="166" fontId="12" fillId="0" borderId="11" xfId="0" applyNumberFormat="1" applyFont="1" applyFill="1" applyBorder="1" applyAlignment="1" applyProtection="1">
      <alignment vertical="center" wrapText="1"/>
      <protection/>
    </xf>
    <xf numFmtId="166" fontId="12" fillId="0" borderId="38" xfId="0" applyNumberFormat="1" applyFont="1" applyFill="1" applyBorder="1" applyAlignment="1" applyProtection="1">
      <alignment vertical="center" wrapText="1"/>
      <protection/>
    </xf>
    <xf numFmtId="166" fontId="12" fillId="0" borderId="40" xfId="0" applyNumberFormat="1" applyFont="1" applyFill="1" applyBorder="1" applyAlignment="1" applyProtection="1">
      <alignment vertical="center" wrapText="1"/>
      <protection/>
    </xf>
    <xf numFmtId="166" fontId="12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5" xfId="0" applyNumberFormat="1" applyFont="1" applyFill="1" applyBorder="1" applyAlignment="1" applyProtection="1">
      <alignment horizontal="center" vertical="center" wrapText="1"/>
      <protection/>
    </xf>
    <xf numFmtId="166" fontId="12" fillId="0" borderId="10" xfId="0" applyNumberFormat="1" applyFont="1" applyFill="1" applyBorder="1" applyAlignment="1" applyProtection="1">
      <alignment vertical="center" wrapText="1"/>
      <protection/>
    </xf>
    <xf numFmtId="166" fontId="12" fillId="0" borderId="45" xfId="0" applyNumberFormat="1" applyFont="1" applyFill="1" applyBorder="1" applyAlignment="1" applyProtection="1">
      <alignment vertical="center" wrapText="1"/>
      <protection/>
    </xf>
    <xf numFmtId="1" fontId="0" fillId="0" borderId="45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10" xfId="0" applyNumberFormat="1" applyFont="1" applyFill="1" applyBorder="1" applyAlignment="1" applyProtection="1">
      <alignment vertical="center" wrapText="1"/>
      <protection locked="0"/>
    </xf>
    <xf numFmtId="166" fontId="13" fillId="0" borderId="45" xfId="0" applyNumberFormat="1" applyFont="1" applyFill="1" applyBorder="1" applyAlignment="1" applyProtection="1">
      <alignment vertical="center" wrapText="1"/>
      <protection locked="0"/>
    </xf>
    <xf numFmtId="166" fontId="12" fillId="0" borderId="22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23" xfId="0" applyNumberFormat="1" applyFont="1" applyFill="1" applyBorder="1" applyAlignment="1" applyProtection="1">
      <alignment horizontal="left" vertical="center" wrapText="1" indent="1"/>
      <protection/>
    </xf>
    <xf numFmtId="1" fontId="13" fillId="33" borderId="52" xfId="0" applyNumberFormat="1" applyFont="1" applyFill="1" applyBorder="1" applyAlignment="1" applyProtection="1">
      <alignment vertical="center" wrapText="1"/>
      <protection/>
    </xf>
    <xf numFmtId="166" fontId="12" fillId="0" borderId="23" xfId="0" applyNumberFormat="1" applyFont="1" applyFill="1" applyBorder="1" applyAlignment="1" applyProtection="1">
      <alignment vertical="center" wrapText="1"/>
      <protection/>
    </xf>
    <xf numFmtId="166" fontId="12" fillId="0" borderId="52" xfId="0" applyNumberFormat="1" applyFont="1" applyFill="1" applyBorder="1" applyAlignment="1" applyProtection="1">
      <alignment vertical="center" wrapText="1"/>
      <protection/>
    </xf>
    <xf numFmtId="166" fontId="12" fillId="0" borderId="42" xfId="0" applyNumberFormat="1" applyFont="1" applyFill="1" applyBorder="1" applyAlignment="1" applyProtection="1">
      <alignment vertical="center" wrapText="1"/>
      <protection/>
    </xf>
    <xf numFmtId="166" fontId="8" fillId="0" borderId="0" xfId="0" applyNumberFormat="1" applyFont="1" applyFill="1" applyAlignment="1">
      <alignment vertical="center" wrapText="1"/>
    </xf>
    <xf numFmtId="166" fontId="19" fillId="0" borderId="0" xfId="0" applyNumberFormat="1" applyFont="1" applyFill="1" applyAlignment="1">
      <alignment horizontal="center" vertical="center" wrapText="1"/>
    </xf>
    <xf numFmtId="166" fontId="12" fillId="0" borderId="22" xfId="0" applyNumberFormat="1" applyFont="1" applyFill="1" applyBorder="1" applyAlignment="1">
      <alignment horizontal="right" vertical="center" wrapText="1" indent="1"/>
    </xf>
    <xf numFmtId="166" fontId="12" fillId="0" borderId="42" xfId="0" applyNumberFormat="1" applyFont="1" applyFill="1" applyBorder="1" applyAlignment="1">
      <alignment horizontal="left" vertical="center" wrapText="1" indent="1"/>
    </xf>
    <xf numFmtId="166" fontId="0" fillId="33" borderId="42" xfId="0" applyNumberFormat="1" applyFont="1" applyFill="1" applyBorder="1" applyAlignment="1">
      <alignment horizontal="left" vertical="center" wrapText="1" indent="2"/>
    </xf>
    <xf numFmtId="166" fontId="0" fillId="33" borderId="32" xfId="0" applyNumberFormat="1" applyFont="1" applyFill="1" applyBorder="1" applyAlignment="1">
      <alignment horizontal="left" vertical="center" wrapText="1" indent="2"/>
    </xf>
    <xf numFmtId="166" fontId="12" fillId="0" borderId="22" xfId="0" applyNumberFormat="1" applyFont="1" applyFill="1" applyBorder="1" applyAlignment="1">
      <alignment vertical="center" wrapText="1"/>
    </xf>
    <xf numFmtId="166" fontId="12" fillId="0" borderId="23" xfId="0" applyNumberFormat="1" applyFont="1" applyFill="1" applyBorder="1" applyAlignment="1">
      <alignment vertical="center" wrapText="1"/>
    </xf>
    <xf numFmtId="166" fontId="12" fillId="0" borderId="27" xfId="0" applyNumberFormat="1" applyFont="1" applyFill="1" applyBorder="1" applyAlignment="1">
      <alignment vertical="center" wrapText="1"/>
    </xf>
    <xf numFmtId="166" fontId="12" fillId="0" borderId="17" xfId="0" applyNumberFormat="1" applyFont="1" applyFill="1" applyBorder="1" applyAlignment="1">
      <alignment horizontal="right" vertical="center" wrapText="1" indent="1"/>
    </xf>
    <xf numFmtId="166" fontId="13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167" fontId="0" fillId="0" borderId="40" xfId="0" applyNumberFormat="1" applyFont="1" applyFill="1" applyBorder="1" applyAlignment="1" applyProtection="1">
      <alignment horizontal="right" vertical="center" wrapText="1" indent="2"/>
      <protection locked="0"/>
    </xf>
    <xf numFmtId="167" fontId="0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66" fontId="13" fillId="0" borderId="17" xfId="0" applyNumberFormat="1" applyFont="1" applyFill="1" applyBorder="1" applyAlignment="1" applyProtection="1">
      <alignment vertical="center" wrapText="1"/>
      <protection locked="0"/>
    </xf>
    <xf numFmtId="166" fontId="13" fillId="0" borderId="26" xfId="0" applyNumberFormat="1" applyFont="1" applyFill="1" applyBorder="1" applyAlignment="1" applyProtection="1">
      <alignment vertical="center" wrapText="1"/>
      <protection locked="0"/>
    </xf>
    <xf numFmtId="166" fontId="0" fillId="33" borderId="42" xfId="0" applyNumberFormat="1" applyFont="1" applyFill="1" applyBorder="1" applyAlignment="1">
      <alignment horizontal="right" vertical="center" wrapText="1" indent="2"/>
    </xf>
    <xf numFmtId="166" fontId="0" fillId="33" borderId="32" xfId="0" applyNumberFormat="1" applyFont="1" applyFill="1" applyBorder="1" applyAlignment="1">
      <alignment horizontal="right" vertical="center" wrapText="1" indent="2"/>
    </xf>
    <xf numFmtId="166" fontId="13" fillId="0" borderId="38" xfId="0" applyNumberFormat="1" applyFont="1" applyFill="1" applyBorder="1" applyAlignment="1" applyProtection="1">
      <alignment vertical="center"/>
      <protection locked="0"/>
    </xf>
    <xf numFmtId="166" fontId="12" fillId="0" borderId="38" xfId="0" applyNumberFormat="1" applyFont="1" applyFill="1" applyBorder="1" applyAlignment="1" applyProtection="1">
      <alignment vertical="center"/>
      <protection/>
    </xf>
    <xf numFmtId="166" fontId="13" fillId="0" borderId="74" xfId="0" applyNumberFormat="1" applyFont="1" applyFill="1" applyBorder="1" applyAlignment="1" applyProtection="1">
      <alignment vertical="center"/>
      <protection locked="0"/>
    </xf>
    <xf numFmtId="0" fontId="13" fillId="0" borderId="21" xfId="0" applyFont="1" applyFill="1" applyBorder="1" applyAlignment="1" applyProtection="1">
      <alignment horizontal="center" vertical="center"/>
      <protection/>
    </xf>
    <xf numFmtId="0" fontId="13" fillId="0" borderId="28" xfId="0" applyFont="1" applyFill="1" applyBorder="1" applyAlignment="1" applyProtection="1">
      <alignment vertical="center" wrapText="1"/>
      <protection/>
    </xf>
    <xf numFmtId="166" fontId="13" fillId="0" borderId="28" xfId="0" applyNumberFormat="1" applyFont="1" applyFill="1" applyBorder="1" applyAlignment="1" applyProtection="1">
      <alignment vertical="center"/>
      <protection locked="0"/>
    </xf>
    <xf numFmtId="166" fontId="13" fillId="0" borderId="73" xfId="0" applyNumberFormat="1" applyFont="1" applyFill="1" applyBorder="1" applyAlignment="1" applyProtection="1">
      <alignment vertical="center"/>
      <protection locked="0"/>
    </xf>
    <xf numFmtId="166" fontId="12" fillId="0" borderId="52" xfId="0" applyNumberFormat="1" applyFont="1" applyFill="1" applyBorder="1" applyAlignment="1" applyProtection="1">
      <alignment vertical="center"/>
      <protection/>
    </xf>
    <xf numFmtId="166" fontId="12" fillId="0" borderId="68" xfId="0" applyNumberFormat="1" applyFont="1" applyFill="1" applyBorder="1" applyAlignment="1" applyProtection="1">
      <alignment vertical="center"/>
      <protection/>
    </xf>
    <xf numFmtId="166" fontId="6" fillId="0" borderId="23" xfId="0" applyNumberFormat="1" applyFont="1" applyFill="1" applyBorder="1" applyAlignment="1" applyProtection="1">
      <alignment vertical="center"/>
      <protection/>
    </xf>
    <xf numFmtId="0" fontId="13" fillId="0" borderId="18" xfId="0" applyFont="1" applyFill="1" applyBorder="1" applyAlignment="1" applyProtection="1">
      <alignment horizontal="right" vertical="center" wrapText="1" indent="1"/>
      <protection/>
    </xf>
    <xf numFmtId="0" fontId="16" fillId="0" borderId="29" xfId="0" applyFont="1" applyFill="1" applyBorder="1" applyAlignment="1" applyProtection="1">
      <alignment horizontal="left" vertical="center" wrapText="1" indent="1"/>
      <protection locked="0"/>
    </xf>
    <xf numFmtId="3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7" xfId="0" applyFont="1" applyFill="1" applyBorder="1" applyAlignment="1" applyProtection="1">
      <alignment horizontal="right" vertical="center" wrapText="1" indent="1"/>
      <protection/>
    </xf>
    <xf numFmtId="0" fontId="16" fillId="0" borderId="14" xfId="0" applyFont="1" applyFill="1" applyBorder="1" applyAlignment="1" applyProtection="1">
      <alignment horizontal="left" vertical="center" wrapText="1" indent="1"/>
      <protection locked="0"/>
    </xf>
    <xf numFmtId="3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7" xfId="0" applyFont="1" applyFill="1" applyBorder="1" applyAlignment="1">
      <alignment horizontal="right" vertical="center" wrapText="1" indent="1"/>
    </xf>
    <xf numFmtId="0" fontId="16" fillId="0" borderId="14" xfId="0" applyFont="1" applyFill="1" applyBorder="1" applyAlignment="1" applyProtection="1">
      <alignment horizontal="left" vertical="center" wrapText="1" indent="8"/>
      <protection locked="0"/>
    </xf>
    <xf numFmtId="0" fontId="13" fillId="0" borderId="11" xfId="0" applyFont="1" applyFill="1" applyBorder="1" applyAlignment="1" applyProtection="1">
      <alignment vertical="center" wrapText="1"/>
      <protection locked="0"/>
    </xf>
    <xf numFmtId="0" fontId="13" fillId="0" borderId="21" xfId="0" applyFont="1" applyFill="1" applyBorder="1" applyAlignment="1">
      <alignment horizontal="right" vertical="center" wrapText="1" indent="1"/>
    </xf>
    <xf numFmtId="0" fontId="13" fillId="0" borderId="28" xfId="0" applyFont="1" applyFill="1" applyBorder="1" applyAlignment="1" applyProtection="1">
      <alignment vertical="center" wrapText="1"/>
      <protection locked="0"/>
    </xf>
    <xf numFmtId="3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2" xfId="0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13" fillId="0" borderId="20" xfId="0" applyFont="1" applyFill="1" applyBorder="1" applyAlignment="1">
      <alignment horizontal="right" vertical="center" indent="1"/>
    </xf>
    <xf numFmtId="0" fontId="13" fillId="0" borderId="13" xfId="0" applyFont="1" applyFill="1" applyBorder="1" applyAlignment="1" applyProtection="1">
      <alignment horizontal="left" vertical="center" indent="1"/>
      <protection locked="0"/>
    </xf>
    <xf numFmtId="3" fontId="13" fillId="0" borderId="70" xfId="0" applyNumberFormat="1" applyFont="1" applyFill="1" applyBorder="1" applyAlignment="1" applyProtection="1">
      <alignment horizontal="right" vertical="center"/>
      <protection locked="0"/>
    </xf>
    <xf numFmtId="3" fontId="13" fillId="0" borderId="44" xfId="0" applyNumberFormat="1" applyFont="1" applyFill="1" applyBorder="1" applyAlignment="1" applyProtection="1">
      <alignment horizontal="right" vertical="center"/>
      <protection locked="0"/>
    </xf>
    <xf numFmtId="0" fontId="13" fillId="0" borderId="17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38" xfId="0" applyNumberFormat="1" applyFont="1" applyFill="1" applyBorder="1" applyAlignment="1" applyProtection="1">
      <alignment horizontal="right" vertical="center"/>
      <protection locked="0"/>
    </xf>
    <xf numFmtId="3" fontId="13" fillId="0" borderId="26" xfId="0" applyNumberFormat="1" applyFont="1" applyFill="1" applyBorder="1" applyAlignment="1" applyProtection="1">
      <alignment horizontal="right" vertical="center"/>
      <protection locked="0"/>
    </xf>
    <xf numFmtId="0" fontId="13" fillId="0" borderId="19" xfId="0" applyFont="1" applyFill="1" applyBorder="1" applyAlignment="1">
      <alignment horizontal="right" vertical="center" indent="1"/>
    </xf>
    <xf numFmtId="0" fontId="13" fillId="0" borderId="15" xfId="0" applyFont="1" applyFill="1" applyBorder="1" applyAlignment="1" applyProtection="1">
      <alignment horizontal="left" vertical="center" indent="1"/>
      <protection locked="0"/>
    </xf>
    <xf numFmtId="3" fontId="13" fillId="0" borderId="74" xfId="0" applyNumberFormat="1" applyFont="1" applyFill="1" applyBorder="1" applyAlignment="1" applyProtection="1">
      <alignment horizontal="right" vertical="center"/>
      <protection locked="0"/>
    </xf>
    <xf numFmtId="3" fontId="13" fillId="0" borderId="76" xfId="0" applyNumberFormat="1" applyFont="1" applyFill="1" applyBorder="1" applyAlignment="1" applyProtection="1">
      <alignment horizontal="right" vertical="center"/>
      <protection locked="0"/>
    </xf>
    <xf numFmtId="0" fontId="25" fillId="0" borderId="0" xfId="62" applyFill="1" applyProtection="1">
      <alignment/>
      <protection/>
    </xf>
    <xf numFmtId="0" fontId="36" fillId="0" borderId="0" xfId="62" applyFont="1" applyFill="1" applyProtection="1">
      <alignment/>
      <protection/>
    </xf>
    <xf numFmtId="0" fontId="25" fillId="0" borderId="0" xfId="62" applyFill="1" applyAlignment="1" applyProtection="1">
      <alignment horizontal="center" vertical="center"/>
      <protection/>
    </xf>
    <xf numFmtId="0" fontId="17" fillId="0" borderId="20" xfId="62" applyFont="1" applyFill="1" applyBorder="1" applyAlignment="1" applyProtection="1">
      <alignment vertical="center" wrapText="1"/>
      <protection/>
    </xf>
    <xf numFmtId="176" fontId="13" fillId="0" borderId="13" xfId="61" applyNumberFormat="1" applyFont="1" applyFill="1" applyBorder="1" applyAlignment="1" applyProtection="1">
      <alignment horizontal="center" vertical="center"/>
      <protection/>
    </xf>
    <xf numFmtId="177" fontId="39" fillId="0" borderId="13" xfId="62" applyNumberFormat="1" applyFont="1" applyFill="1" applyBorder="1" applyAlignment="1" applyProtection="1">
      <alignment horizontal="right" vertical="center" wrapText="1"/>
      <protection locked="0"/>
    </xf>
    <xf numFmtId="177" fontId="39" fillId="0" borderId="44" xfId="62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62" applyFill="1" applyAlignment="1" applyProtection="1">
      <alignment vertical="center"/>
      <protection/>
    </xf>
    <xf numFmtId="0" fontId="17" fillId="0" borderId="17" xfId="62" applyFont="1" applyFill="1" applyBorder="1" applyAlignment="1" applyProtection="1">
      <alignment vertical="center" wrapText="1"/>
      <protection/>
    </xf>
    <xf numFmtId="176" fontId="13" fillId="0" borderId="11" xfId="61" applyNumberFormat="1" applyFont="1" applyFill="1" applyBorder="1" applyAlignment="1" applyProtection="1">
      <alignment horizontal="center" vertical="center"/>
      <protection/>
    </xf>
    <xf numFmtId="177" fontId="39" fillId="0" borderId="11" xfId="62" applyNumberFormat="1" applyFont="1" applyFill="1" applyBorder="1" applyAlignment="1" applyProtection="1">
      <alignment horizontal="right" vertical="center" wrapText="1"/>
      <protection/>
    </xf>
    <xf numFmtId="177" fontId="39" fillId="0" borderId="26" xfId="62" applyNumberFormat="1" applyFont="1" applyFill="1" applyBorder="1" applyAlignment="1" applyProtection="1">
      <alignment horizontal="right" vertical="center" wrapText="1"/>
      <protection/>
    </xf>
    <xf numFmtId="0" fontId="40" fillId="0" borderId="17" xfId="62" applyFont="1" applyFill="1" applyBorder="1" applyAlignment="1" applyProtection="1">
      <alignment horizontal="left" vertical="center" wrapText="1" indent="1"/>
      <protection/>
    </xf>
    <xf numFmtId="177" fontId="41" fillId="0" borderId="11" xfId="62" applyNumberFormat="1" applyFont="1" applyFill="1" applyBorder="1" applyAlignment="1" applyProtection="1">
      <alignment horizontal="right" vertical="center" wrapText="1"/>
      <protection locked="0"/>
    </xf>
    <xf numFmtId="177" fontId="41" fillId="0" borderId="26" xfId="62" applyNumberFormat="1" applyFont="1" applyFill="1" applyBorder="1" applyAlignment="1" applyProtection="1">
      <alignment horizontal="right" vertical="center" wrapText="1"/>
      <protection locked="0"/>
    </xf>
    <xf numFmtId="177" fontId="42" fillId="0" borderId="11" xfId="62" applyNumberFormat="1" applyFont="1" applyFill="1" applyBorder="1" applyAlignment="1" applyProtection="1">
      <alignment horizontal="right" vertical="center" wrapText="1"/>
      <protection locked="0"/>
    </xf>
    <xf numFmtId="177" fontId="42" fillId="0" borderId="26" xfId="62" applyNumberFormat="1" applyFont="1" applyFill="1" applyBorder="1" applyAlignment="1" applyProtection="1">
      <alignment horizontal="right" vertical="center" wrapText="1"/>
      <protection locked="0"/>
    </xf>
    <xf numFmtId="177" fontId="42" fillId="0" borderId="11" xfId="62" applyNumberFormat="1" applyFont="1" applyFill="1" applyBorder="1" applyAlignment="1" applyProtection="1">
      <alignment horizontal="right" vertical="center" wrapText="1"/>
      <protection/>
    </xf>
    <xf numFmtId="177" fontId="42" fillId="0" borderId="26" xfId="62" applyNumberFormat="1" applyFont="1" applyFill="1" applyBorder="1" applyAlignment="1" applyProtection="1">
      <alignment horizontal="right" vertical="center" wrapText="1"/>
      <protection/>
    </xf>
    <xf numFmtId="0" fontId="17" fillId="0" borderId="21" xfId="62" applyFont="1" applyFill="1" applyBorder="1" applyAlignment="1" applyProtection="1">
      <alignment vertical="center" wrapText="1"/>
      <protection/>
    </xf>
    <xf numFmtId="176" fontId="13" fillId="0" borderId="28" xfId="61" applyNumberFormat="1" applyFont="1" applyFill="1" applyBorder="1" applyAlignment="1" applyProtection="1">
      <alignment horizontal="center" vertical="center"/>
      <protection/>
    </xf>
    <xf numFmtId="177" fontId="39" fillId="0" borderId="28" xfId="62" applyNumberFormat="1" applyFont="1" applyFill="1" applyBorder="1" applyAlignment="1" applyProtection="1">
      <alignment horizontal="right" vertical="center" wrapText="1"/>
      <protection/>
    </xf>
    <xf numFmtId="177" fontId="39" fillId="0" borderId="68" xfId="62" applyNumberFormat="1" applyFont="1" applyFill="1" applyBorder="1" applyAlignment="1" applyProtection="1">
      <alignment horizontal="right" vertical="center" wrapText="1"/>
      <protection/>
    </xf>
    <xf numFmtId="0" fontId="16" fillId="0" borderId="0" xfId="62" applyFont="1" applyFill="1" applyProtection="1">
      <alignment/>
      <protection/>
    </xf>
    <xf numFmtId="3" fontId="25" fillId="0" borderId="0" xfId="62" applyNumberFormat="1" applyFont="1" applyFill="1" applyProtection="1">
      <alignment/>
      <protection/>
    </xf>
    <xf numFmtId="3" fontId="25" fillId="0" borderId="0" xfId="62" applyNumberFormat="1" applyFont="1" applyFill="1" applyAlignment="1" applyProtection="1">
      <alignment horizontal="center"/>
      <protection/>
    </xf>
    <xf numFmtId="0" fontId="25" fillId="0" borderId="0" xfId="62" applyFont="1" applyFill="1" applyProtection="1">
      <alignment/>
      <protection/>
    </xf>
    <xf numFmtId="0" fontId="25" fillId="0" borderId="0" xfId="62" applyFill="1" applyAlignment="1" applyProtection="1">
      <alignment horizontal="center"/>
      <protection/>
    </xf>
    <xf numFmtId="0" fontId="0" fillId="0" borderId="0" xfId="61" applyFill="1" applyAlignment="1" applyProtection="1">
      <alignment vertical="center"/>
      <protection/>
    </xf>
    <xf numFmtId="0" fontId="0" fillId="0" borderId="0" xfId="61" applyFill="1" applyAlignment="1" applyProtection="1">
      <alignment vertic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center" vertical="center"/>
      <protection/>
    </xf>
    <xf numFmtId="176" fontId="13" fillId="0" borderId="12" xfId="61" applyNumberFormat="1" applyFont="1" applyFill="1" applyBorder="1" applyAlignment="1" applyProtection="1">
      <alignment horizontal="center" vertical="center"/>
      <protection/>
    </xf>
    <xf numFmtId="178" fontId="13" fillId="0" borderId="75" xfId="61" applyNumberFormat="1" applyFont="1" applyFill="1" applyBorder="1" applyAlignment="1" applyProtection="1">
      <alignment vertical="center"/>
      <protection locked="0"/>
    </xf>
    <xf numFmtId="178" fontId="13" fillId="0" borderId="26" xfId="61" applyNumberFormat="1" applyFont="1" applyFill="1" applyBorder="1" applyAlignment="1" applyProtection="1">
      <alignment vertical="center"/>
      <protection locked="0"/>
    </xf>
    <xf numFmtId="178" fontId="12" fillId="0" borderId="26" xfId="61" applyNumberFormat="1" applyFont="1" applyFill="1" applyBorder="1" applyAlignment="1" applyProtection="1">
      <alignment vertical="center"/>
      <protection/>
    </xf>
    <xf numFmtId="178" fontId="12" fillId="0" borderId="26" xfId="61" applyNumberFormat="1" applyFont="1" applyFill="1" applyBorder="1" applyAlignment="1" applyProtection="1">
      <alignment vertical="center"/>
      <protection locked="0"/>
    </xf>
    <xf numFmtId="0" fontId="0" fillId="0" borderId="0" xfId="61" applyFont="1" applyFill="1" applyAlignment="1" applyProtection="1">
      <alignment vertical="center"/>
      <protection/>
    </xf>
    <xf numFmtId="0" fontId="12" fillId="0" borderId="21" xfId="61" applyFont="1" applyFill="1" applyBorder="1" applyAlignment="1" applyProtection="1">
      <alignment horizontal="left" vertical="center" wrapText="1"/>
      <protection/>
    </xf>
    <xf numFmtId="178" fontId="12" fillId="0" borderId="68" xfId="61" applyNumberFormat="1" applyFont="1" applyFill="1" applyBorder="1" applyAlignment="1" applyProtection="1">
      <alignment vertical="center"/>
      <protection/>
    </xf>
    <xf numFmtId="0" fontId="25" fillId="0" borderId="0" xfId="62" applyFont="1" applyFill="1" applyAlignment="1" applyProtection="1">
      <alignment/>
      <protection/>
    </xf>
    <xf numFmtId="0" fontId="11" fillId="0" borderId="0" xfId="61" applyFont="1" applyFill="1" applyAlignment="1" applyProtection="1">
      <alignment horizontal="center" vertical="center"/>
      <protection/>
    </xf>
    <xf numFmtId="0" fontId="25" fillId="0" borderId="0" xfId="62" applyFill="1">
      <alignment/>
      <protection/>
    </xf>
    <xf numFmtId="0" fontId="15" fillId="0" borderId="24" xfId="62" applyFont="1" applyFill="1" applyBorder="1" applyAlignment="1">
      <alignment horizontal="center" vertical="center"/>
      <protection/>
    </xf>
    <xf numFmtId="0" fontId="20" fillId="0" borderId="25" xfId="61" applyFont="1" applyFill="1" applyBorder="1" applyAlignment="1" applyProtection="1">
      <alignment horizontal="center" vertical="center" textRotation="90"/>
      <protection/>
    </xf>
    <xf numFmtId="0" fontId="15" fillId="0" borderId="25" xfId="62" applyFont="1" applyFill="1" applyBorder="1" applyAlignment="1">
      <alignment horizontal="center" vertical="center" wrapText="1"/>
      <protection/>
    </xf>
    <xf numFmtId="0" fontId="15" fillId="0" borderId="77" xfId="62" applyFont="1" applyFill="1" applyBorder="1" applyAlignment="1">
      <alignment horizontal="center" vertical="center" wrapText="1"/>
      <protection/>
    </xf>
    <xf numFmtId="0" fontId="15" fillId="0" borderId="22" xfId="62" applyFont="1" applyFill="1" applyBorder="1" applyAlignment="1">
      <alignment horizontal="center" vertical="center"/>
      <protection/>
    </xf>
    <xf numFmtId="0" fontId="15" fillId="0" borderId="23" xfId="62" applyFont="1" applyFill="1" applyBorder="1" applyAlignment="1">
      <alignment horizontal="center" vertical="center" wrapText="1"/>
      <protection/>
    </xf>
    <xf numFmtId="0" fontId="15" fillId="0" borderId="27" xfId="62" applyFont="1" applyFill="1" applyBorder="1" applyAlignment="1">
      <alignment horizontal="center" vertical="center" wrapText="1"/>
      <protection/>
    </xf>
    <xf numFmtId="0" fontId="16" fillId="0" borderId="17" xfId="62" applyFont="1" applyFill="1" applyBorder="1" applyProtection="1">
      <alignment/>
      <protection locked="0"/>
    </xf>
    <xf numFmtId="0" fontId="16" fillId="0" borderId="12" xfId="62" applyFont="1" applyFill="1" applyBorder="1" applyAlignment="1">
      <alignment horizontal="right" indent="1"/>
      <protection/>
    </xf>
    <xf numFmtId="3" fontId="16" fillId="0" borderId="12" xfId="62" applyNumberFormat="1" applyFont="1" applyFill="1" applyBorder="1" applyProtection="1">
      <alignment/>
      <protection locked="0"/>
    </xf>
    <xf numFmtId="3" fontId="16" fillId="0" borderId="75" xfId="62" applyNumberFormat="1" applyFont="1" applyFill="1" applyBorder="1" applyProtection="1">
      <alignment/>
      <protection locked="0"/>
    </xf>
    <xf numFmtId="0" fontId="16" fillId="0" borderId="11" xfId="62" applyFont="1" applyFill="1" applyBorder="1" applyAlignment="1">
      <alignment horizontal="right" indent="1"/>
      <protection/>
    </xf>
    <xf numFmtId="3" fontId="16" fillId="0" borderId="11" xfId="62" applyNumberFormat="1" applyFont="1" applyFill="1" applyBorder="1" applyProtection="1">
      <alignment/>
      <protection locked="0"/>
    </xf>
    <xf numFmtId="3" fontId="16" fillId="0" borderId="26" xfId="62" applyNumberFormat="1" applyFont="1" applyFill="1" applyBorder="1" applyProtection="1">
      <alignment/>
      <protection locked="0"/>
    </xf>
    <xf numFmtId="0" fontId="16" fillId="0" borderId="19" xfId="62" applyFont="1" applyFill="1" applyBorder="1" applyProtection="1">
      <alignment/>
      <protection locked="0"/>
    </xf>
    <xf numFmtId="0" fontId="16" fillId="0" borderId="15" xfId="62" applyFont="1" applyFill="1" applyBorder="1" applyAlignment="1">
      <alignment horizontal="right" indent="1"/>
      <protection/>
    </xf>
    <xf numFmtId="3" fontId="16" fillId="0" borderId="15" xfId="62" applyNumberFormat="1" applyFont="1" applyFill="1" applyBorder="1" applyProtection="1">
      <alignment/>
      <protection locked="0"/>
    </xf>
    <xf numFmtId="3" fontId="16" fillId="0" borderId="76" xfId="62" applyNumberFormat="1" applyFont="1" applyFill="1" applyBorder="1" applyProtection="1">
      <alignment/>
      <protection locked="0"/>
    </xf>
    <xf numFmtId="0" fontId="17" fillId="0" borderId="22" xfId="62" applyFont="1" applyFill="1" applyBorder="1" applyProtection="1">
      <alignment/>
      <protection locked="0"/>
    </xf>
    <xf numFmtId="0" fontId="16" fillId="0" borderId="23" xfId="62" applyFont="1" applyFill="1" applyBorder="1" applyAlignment="1">
      <alignment horizontal="right" indent="1"/>
      <protection/>
    </xf>
    <xf numFmtId="3" fontId="16" fillId="0" borderId="23" xfId="62" applyNumberFormat="1" applyFont="1" applyFill="1" applyBorder="1" applyProtection="1">
      <alignment/>
      <protection locked="0"/>
    </xf>
    <xf numFmtId="178" fontId="12" fillId="0" borderId="27" xfId="61" applyNumberFormat="1" applyFont="1" applyFill="1" applyBorder="1" applyAlignment="1" applyProtection="1">
      <alignment vertical="center"/>
      <protection/>
    </xf>
    <xf numFmtId="0" fontId="16" fillId="0" borderId="18" xfId="62" applyFont="1" applyFill="1" applyBorder="1" applyProtection="1">
      <alignment/>
      <protection locked="0"/>
    </xf>
    <xf numFmtId="3" fontId="16" fillId="0" borderId="78" xfId="62" applyNumberFormat="1" applyFont="1" applyFill="1" applyBorder="1">
      <alignment/>
      <protection/>
    </xf>
    <xf numFmtId="0" fontId="43" fillId="0" borderId="0" xfId="62" applyFont="1" applyFill="1">
      <alignment/>
      <protection/>
    </xf>
    <xf numFmtId="0" fontId="27" fillId="0" borderId="0" xfId="62" applyFont="1" applyFill="1">
      <alignment/>
      <protection/>
    </xf>
    <xf numFmtId="0" fontId="25" fillId="0" borderId="0" xfId="62" applyFont="1" applyFill="1">
      <alignment/>
      <protection/>
    </xf>
    <xf numFmtId="0" fontId="25" fillId="0" borderId="0" xfId="62" applyFont="1" applyFill="1" applyAlignment="1">
      <alignment/>
      <protection/>
    </xf>
    <xf numFmtId="0" fontId="35" fillId="0" borderId="0" xfId="62" applyFont="1" applyFill="1" applyAlignment="1">
      <alignment horizontal="center"/>
      <protection/>
    </xf>
    <xf numFmtId="0" fontId="44" fillId="0" borderId="0" xfId="0" applyFont="1" applyAlignment="1" applyProtection="1">
      <alignment horizontal="center"/>
      <protection/>
    </xf>
    <xf numFmtId="0" fontId="46" fillId="0" borderId="12" xfId="0" applyFont="1" applyBorder="1" applyAlignment="1" applyProtection="1">
      <alignment horizontal="left" vertical="top" wrapText="1"/>
      <protection locked="0"/>
    </xf>
    <xf numFmtId="9" fontId="46" fillId="0" borderId="12" xfId="70" applyFont="1" applyBorder="1" applyAlignment="1" applyProtection="1">
      <alignment horizontal="center" vertical="center" wrapText="1"/>
      <protection locked="0"/>
    </xf>
    <xf numFmtId="168" fontId="46" fillId="0" borderId="12" xfId="42" applyNumberFormat="1" applyFont="1" applyBorder="1" applyAlignment="1" applyProtection="1">
      <alignment horizontal="center" vertical="center" wrapText="1"/>
      <protection locked="0"/>
    </xf>
    <xf numFmtId="168" fontId="46" fillId="0" borderId="75" xfId="42" applyNumberFormat="1" applyFont="1" applyBorder="1" applyAlignment="1" applyProtection="1">
      <alignment horizontal="center" vertical="top" wrapText="1"/>
      <protection locked="0"/>
    </xf>
    <xf numFmtId="0" fontId="46" fillId="0" borderId="11" xfId="0" applyFont="1" applyBorder="1" applyAlignment="1" applyProtection="1">
      <alignment horizontal="left" vertical="top" wrapText="1"/>
      <protection locked="0"/>
    </xf>
    <xf numFmtId="9" fontId="46" fillId="0" borderId="11" xfId="70" applyFont="1" applyBorder="1" applyAlignment="1" applyProtection="1">
      <alignment horizontal="center" vertical="center" wrapText="1"/>
      <protection locked="0"/>
    </xf>
    <xf numFmtId="168" fontId="46" fillId="0" borderId="11" xfId="42" applyNumberFormat="1" applyFont="1" applyBorder="1" applyAlignment="1" applyProtection="1">
      <alignment horizontal="center" vertical="center" wrapText="1"/>
      <protection locked="0"/>
    </xf>
    <xf numFmtId="168" fontId="46" fillId="0" borderId="26" xfId="42" applyNumberFormat="1" applyFont="1" applyBorder="1" applyAlignment="1" applyProtection="1">
      <alignment horizontal="center" vertical="top" wrapText="1"/>
      <protection locked="0"/>
    </xf>
    <xf numFmtId="0" fontId="46" fillId="0" borderId="15" xfId="0" applyFont="1" applyBorder="1" applyAlignment="1" applyProtection="1">
      <alignment horizontal="left" vertical="top" wrapText="1"/>
      <protection locked="0"/>
    </xf>
    <xf numFmtId="9" fontId="46" fillId="0" borderId="15" xfId="70" applyFont="1" applyBorder="1" applyAlignment="1" applyProtection="1">
      <alignment horizontal="center" vertical="center" wrapText="1"/>
      <protection locked="0"/>
    </xf>
    <xf numFmtId="168" fontId="46" fillId="0" borderId="15" xfId="42" applyNumberFormat="1" applyFont="1" applyBorder="1" applyAlignment="1" applyProtection="1">
      <alignment horizontal="center" vertical="center" wrapText="1"/>
      <protection locked="0"/>
    </xf>
    <xf numFmtId="168" fontId="46" fillId="0" borderId="76" xfId="42" applyNumberFormat="1" applyFont="1" applyBorder="1" applyAlignment="1" applyProtection="1">
      <alignment horizontal="center" vertical="top" wrapText="1"/>
      <protection locked="0"/>
    </xf>
    <xf numFmtId="0" fontId="44" fillId="35" borderId="23" xfId="0" applyFont="1" applyFill="1" applyBorder="1" applyAlignment="1" applyProtection="1">
      <alignment horizontal="center" vertical="top" wrapText="1"/>
      <protection/>
    </xf>
    <xf numFmtId="168" fontId="46" fillId="0" borderId="23" xfId="42" applyNumberFormat="1" applyFont="1" applyBorder="1" applyAlignment="1" applyProtection="1">
      <alignment horizontal="center" vertical="center" wrapText="1"/>
      <protection/>
    </xf>
    <xf numFmtId="168" fontId="46" fillId="0" borderId="27" xfId="42" applyNumberFormat="1" applyFont="1" applyBorder="1" applyAlignment="1" applyProtection="1">
      <alignment horizontal="center" vertical="top" wrapText="1"/>
      <protection/>
    </xf>
    <xf numFmtId="0" fontId="19" fillId="0" borderId="0" xfId="0" applyFont="1" applyFill="1" applyAlignment="1">
      <alignment horizontal="center"/>
    </xf>
    <xf numFmtId="0" fontId="47" fillId="0" borderId="0" xfId="0" applyFont="1" applyFill="1" applyAlignment="1">
      <alignment horizontal="right"/>
    </xf>
    <xf numFmtId="0" fontId="3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left" vertical="center" wrapText="1" indent="1"/>
      <protection locked="0"/>
    </xf>
    <xf numFmtId="0" fontId="0" fillId="0" borderId="17" xfId="0" applyFill="1" applyBorder="1" applyAlignment="1">
      <alignment horizontal="center" vertical="center"/>
    </xf>
    <xf numFmtId="0" fontId="48" fillId="0" borderId="11" xfId="0" applyFont="1" applyFill="1" applyBorder="1" applyAlignment="1">
      <alignment horizontal="left" vertical="center" indent="5"/>
    </xf>
    <xf numFmtId="0" fontId="0" fillId="0" borderId="11" xfId="0" applyFont="1" applyFill="1" applyBorder="1" applyAlignment="1">
      <alignment horizontal="left" vertical="center" indent="1"/>
    </xf>
    <xf numFmtId="0" fontId="0" fillId="0" borderId="19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indent="1"/>
    </xf>
    <xf numFmtId="0" fontId="0" fillId="0" borderId="21" xfId="0" applyFill="1" applyBorder="1" applyAlignment="1">
      <alignment horizontal="center" vertical="center"/>
    </xf>
    <xf numFmtId="0" fontId="0" fillId="0" borderId="28" xfId="0" applyFill="1" applyBorder="1" applyAlignment="1">
      <alignment horizontal="left" vertical="center" indent="1"/>
    </xf>
    <xf numFmtId="0" fontId="0" fillId="0" borderId="20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left" vertical="center" wrapText="1" indent="1"/>
      <protection locked="0"/>
    </xf>
    <xf numFmtId="0" fontId="48" fillId="0" borderId="28" xfId="0" applyFont="1" applyFill="1" applyBorder="1" applyAlignment="1">
      <alignment horizontal="left" vertical="center" indent="5"/>
    </xf>
    <xf numFmtId="166" fontId="20" fillId="0" borderId="30" xfId="60" applyNumberFormat="1" applyFont="1" applyFill="1" applyBorder="1" applyAlignment="1" applyProtection="1">
      <alignment vertical="center"/>
      <protection locked="0"/>
    </xf>
    <xf numFmtId="0" fontId="4" fillId="0" borderId="30" xfId="0" applyFont="1" applyFill="1" applyBorder="1" applyAlignment="1" applyProtection="1">
      <alignment horizontal="right" vertical="center"/>
      <protection locked="0"/>
    </xf>
    <xf numFmtId="0" fontId="6" fillId="0" borderId="28" xfId="60" applyFont="1" applyFill="1" applyBorder="1" applyAlignment="1" applyProtection="1">
      <alignment horizontal="center" vertical="center" wrapText="1"/>
      <protection locked="0"/>
    </xf>
    <xf numFmtId="0" fontId="12" fillId="0" borderId="22" xfId="60" applyFont="1" applyFill="1" applyBorder="1" applyAlignment="1" applyProtection="1">
      <alignment horizontal="center" vertical="center" wrapText="1"/>
      <protection locked="0"/>
    </xf>
    <xf numFmtId="0" fontId="12" fillId="0" borderId="23" xfId="60" applyFont="1" applyFill="1" applyBorder="1" applyAlignment="1" applyProtection="1">
      <alignment horizontal="center" vertical="center" wrapText="1"/>
      <protection locked="0"/>
    </xf>
    <xf numFmtId="0" fontId="12" fillId="0" borderId="27" xfId="60" applyFont="1" applyFill="1" applyBorder="1" applyAlignment="1" applyProtection="1">
      <alignment horizontal="center" vertical="center" wrapText="1"/>
      <protection locked="0"/>
    </xf>
    <xf numFmtId="166" fontId="8" fillId="0" borderId="0" xfId="0" applyNumberFormat="1" applyFont="1" applyFill="1" applyAlignment="1" applyProtection="1">
      <alignment horizontal="center" vertical="center" wrapText="1"/>
      <protection locked="0"/>
    </xf>
    <xf numFmtId="166" fontId="6" fillId="0" borderId="73" xfId="0" applyNumberFormat="1" applyFont="1" applyFill="1" applyBorder="1" applyAlignment="1" applyProtection="1">
      <alignment horizontal="center" vertical="center"/>
      <protection locked="0"/>
    </xf>
    <xf numFmtId="166" fontId="6" fillId="0" borderId="28" xfId="0" applyNumberFormat="1" applyFont="1" applyFill="1" applyBorder="1" applyAlignment="1" applyProtection="1">
      <alignment horizontal="center" vertical="center"/>
      <protection locked="0"/>
    </xf>
    <xf numFmtId="166" fontId="6" fillId="0" borderId="6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4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2" xfId="0" applyFont="1" applyFill="1" applyBorder="1" applyAlignment="1" applyProtection="1">
      <alignment horizontal="center" vertical="center" wrapText="1"/>
      <protection locked="0"/>
    </xf>
    <xf numFmtId="0" fontId="12" fillId="0" borderId="52" xfId="0" applyFont="1" applyFill="1" applyBorder="1" applyAlignment="1">
      <alignment vertical="center" wrapText="1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6" fillId="0" borderId="27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32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79" xfId="0" applyFont="1" applyFill="1" applyBorder="1" applyAlignment="1" applyProtection="1">
      <alignment horizontal="center" vertical="center" wrapText="1"/>
      <protection locked="0"/>
    </xf>
    <xf numFmtId="0" fontId="6" fillId="0" borderId="77" xfId="0" applyFont="1" applyFill="1" applyBorder="1" applyAlignment="1" applyProtection="1">
      <alignment horizontal="center" vertical="center" wrapText="1"/>
      <protection locked="0"/>
    </xf>
    <xf numFmtId="0" fontId="25" fillId="0" borderId="0" xfId="62" applyFill="1" applyProtection="1">
      <alignment/>
      <protection locked="0"/>
    </xf>
    <xf numFmtId="0" fontId="36" fillId="0" borderId="0" xfId="62" applyFont="1" applyFill="1" applyProtection="1">
      <alignment/>
      <protection locked="0"/>
    </xf>
    <xf numFmtId="0" fontId="26" fillId="0" borderId="21" xfId="62" applyFont="1" applyFill="1" applyBorder="1" applyAlignment="1" applyProtection="1">
      <alignment horizontal="center" vertical="center" wrapText="1"/>
      <protection locked="0"/>
    </xf>
    <xf numFmtId="0" fontId="26" fillId="0" borderId="28" xfId="62" applyFont="1" applyFill="1" applyBorder="1" applyAlignment="1" applyProtection="1">
      <alignment horizontal="center" vertical="center" wrapText="1"/>
      <protection locked="0"/>
    </xf>
    <xf numFmtId="0" fontId="26" fillId="0" borderId="68" xfId="62" applyFont="1" applyFill="1" applyBorder="1" applyAlignment="1" applyProtection="1">
      <alignment horizontal="center" vertical="center" wrapText="1"/>
      <protection locked="0"/>
    </xf>
    <xf numFmtId="0" fontId="0" fillId="0" borderId="0" xfId="61" applyFill="1" applyAlignment="1" applyProtection="1">
      <alignment vertical="center" wrapText="1"/>
      <protection locked="0"/>
    </xf>
    <xf numFmtId="0" fontId="11" fillId="0" borderId="0" xfId="61" applyFont="1" applyFill="1" applyAlignment="1" applyProtection="1">
      <alignment horizontal="center" vertical="center"/>
      <protection locked="0"/>
    </xf>
    <xf numFmtId="0" fontId="0" fillId="0" borderId="0" xfId="61" applyFill="1" applyAlignment="1" applyProtection="1">
      <alignment vertical="center"/>
      <protection locked="0"/>
    </xf>
    <xf numFmtId="49" fontId="12" fillId="0" borderId="21" xfId="61" applyNumberFormat="1" applyFont="1" applyFill="1" applyBorder="1" applyAlignment="1" applyProtection="1">
      <alignment horizontal="center" vertical="center" wrapText="1"/>
      <protection locked="0"/>
    </xf>
    <xf numFmtId="49" fontId="12" fillId="0" borderId="28" xfId="61" applyNumberFormat="1" applyFont="1" applyFill="1" applyBorder="1" applyAlignment="1" applyProtection="1">
      <alignment horizontal="center" vertical="center"/>
      <protection locked="0"/>
    </xf>
    <xf numFmtId="49" fontId="12" fillId="0" borderId="68" xfId="61" applyNumberFormat="1" applyFont="1" applyFill="1" applyBorder="1" applyAlignment="1" applyProtection="1">
      <alignment horizontal="center" vertical="center"/>
      <protection locked="0"/>
    </xf>
    <xf numFmtId="0" fontId="25" fillId="0" borderId="0" xfId="62" applyFill="1" applyAlignment="1">
      <alignment/>
      <protection/>
    </xf>
    <xf numFmtId="0" fontId="49" fillId="0" borderId="18" xfId="0" applyFont="1" applyBorder="1" applyAlignment="1" applyProtection="1">
      <alignment horizontal="center" vertical="top" wrapText="1"/>
      <protection/>
    </xf>
    <xf numFmtId="0" fontId="49" fillId="0" borderId="17" xfId="0" applyFont="1" applyBorder="1" applyAlignment="1" applyProtection="1">
      <alignment horizontal="center" vertical="top" wrapText="1"/>
      <protection/>
    </xf>
    <xf numFmtId="0" fontId="49" fillId="0" borderId="19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 locked="0"/>
    </xf>
    <xf numFmtId="0" fontId="44" fillId="0" borderId="0" xfId="0" applyFont="1" applyAlignment="1" applyProtection="1">
      <alignment horizontal="center"/>
      <protection locked="0"/>
    </xf>
    <xf numFmtId="0" fontId="45" fillId="0" borderId="22" xfId="0" applyFont="1" applyBorder="1" applyAlignment="1" applyProtection="1">
      <alignment horizontal="center" vertical="center" wrapText="1"/>
      <protection locked="0"/>
    </xf>
    <xf numFmtId="0" fontId="44" fillId="0" borderId="23" xfId="0" applyFont="1" applyBorder="1" applyAlignment="1" applyProtection="1">
      <alignment horizontal="center" vertical="center" wrapText="1"/>
      <protection locked="0"/>
    </xf>
    <xf numFmtId="0" fontId="44" fillId="0" borderId="27" xfId="0" applyFont="1" applyBorder="1" applyAlignment="1" applyProtection="1">
      <alignment horizontal="center" vertical="center" wrapText="1"/>
      <protection locked="0"/>
    </xf>
    <xf numFmtId="179" fontId="0" fillId="0" borderId="26" xfId="0" applyNumberFormat="1" applyFont="1" applyFill="1" applyBorder="1" applyAlignment="1" applyProtection="1">
      <alignment horizontal="right" vertical="center"/>
      <protection locked="0"/>
    </xf>
    <xf numFmtId="179" fontId="0" fillId="0" borderId="76" xfId="0" applyNumberFormat="1" applyFont="1" applyFill="1" applyBorder="1" applyAlignment="1" applyProtection="1">
      <alignment horizontal="right" vertical="center"/>
      <protection locked="0"/>
    </xf>
    <xf numFmtId="179" fontId="0" fillId="0" borderId="68" xfId="0" applyNumberFormat="1" applyFont="1" applyFill="1" applyBorder="1" applyAlignment="1" applyProtection="1">
      <alignment horizontal="right" vertical="center"/>
      <protection locked="0"/>
    </xf>
    <xf numFmtId="179" fontId="3" fillId="0" borderId="44" xfId="0" applyNumberFormat="1" applyFont="1" applyFill="1" applyBorder="1" applyAlignment="1" applyProtection="1">
      <alignment horizontal="right" vertical="center"/>
      <protection/>
    </xf>
    <xf numFmtId="0" fontId="99" fillId="0" borderId="0" xfId="0" applyFont="1" applyAlignment="1">
      <alignment/>
    </xf>
    <xf numFmtId="0" fontId="99" fillId="0" borderId="0" xfId="0" applyFont="1" applyAlignment="1">
      <alignment horizontal="justify" vertical="top" wrapText="1"/>
    </xf>
    <xf numFmtId="0" fontId="100" fillId="36" borderId="0" xfId="0" applyFont="1" applyFill="1" applyAlignment="1">
      <alignment horizontal="center" vertical="center"/>
    </xf>
    <xf numFmtId="0" fontId="100" fillId="36" borderId="0" xfId="0" applyFont="1" applyFill="1" applyAlignment="1">
      <alignment horizontal="center" vertical="top" wrapText="1"/>
    </xf>
    <xf numFmtId="0" fontId="50" fillId="0" borderId="0" xfId="0" applyFont="1" applyAlignment="1">
      <alignment/>
    </xf>
    <xf numFmtId="0" fontId="89" fillId="0" borderId="0" xfId="46" applyAlignment="1" applyProtection="1">
      <alignment/>
      <protection/>
    </xf>
    <xf numFmtId="0" fontId="0" fillId="0" borderId="0" xfId="0" applyAlignment="1">
      <alignment horizontal="right"/>
    </xf>
    <xf numFmtId="166" fontId="101" fillId="0" borderId="0" xfId="0" applyNumberFormat="1" applyFont="1" applyFill="1" applyAlignment="1" applyProtection="1">
      <alignment horizontal="right" vertical="center" wrapText="1" indent="1"/>
      <protection/>
    </xf>
    <xf numFmtId="166" fontId="102" fillId="0" borderId="0" xfId="60" applyNumberFormat="1" applyFont="1" applyFill="1" applyProtection="1">
      <alignment/>
      <protection/>
    </xf>
    <xf numFmtId="166" fontId="102" fillId="0" borderId="0" xfId="60" applyNumberFormat="1" applyFont="1" applyFill="1" applyAlignment="1" applyProtection="1">
      <alignment horizontal="right" vertical="center" indent="1"/>
      <protection/>
    </xf>
    <xf numFmtId="0" fontId="34" fillId="0" borderId="0" xfId="0" applyFont="1" applyAlignment="1" applyProtection="1">
      <alignment horizontal="right" vertical="top"/>
      <protection locked="0"/>
    </xf>
    <xf numFmtId="0" fontId="52" fillId="0" borderId="0" xfId="0" applyFont="1" applyFill="1" applyBorder="1" applyAlignment="1" applyProtection="1">
      <alignment horizontal="right"/>
      <protection/>
    </xf>
    <xf numFmtId="0" fontId="3" fillId="0" borderId="42" xfId="0" applyFont="1" applyFill="1" applyBorder="1" applyAlignment="1">
      <alignment horizontal="center" vertical="center" wrapText="1"/>
    </xf>
    <xf numFmtId="0" fontId="15" fillId="0" borderId="80" xfId="0" applyFont="1" applyFill="1" applyBorder="1" applyAlignment="1" applyProtection="1">
      <alignment horizontal="center" vertical="center" wrapText="1"/>
      <protection/>
    </xf>
    <xf numFmtId="0" fontId="15" fillId="0" borderId="67" xfId="0" applyFont="1" applyFill="1" applyBorder="1" applyAlignment="1" applyProtection="1">
      <alignment horizontal="center" vertical="center" wrapText="1"/>
      <protection/>
    </xf>
    <xf numFmtId="0" fontId="15" fillId="0" borderId="46" xfId="0" applyFont="1" applyFill="1" applyBorder="1" applyAlignment="1" applyProtection="1">
      <alignment horizontal="center" vertical="center" wrapText="1"/>
      <protection/>
    </xf>
    <xf numFmtId="0" fontId="12" fillId="0" borderId="42" xfId="0" applyFont="1" applyFill="1" applyBorder="1" applyAlignment="1">
      <alignment horizontal="center" vertical="center"/>
    </xf>
    <xf numFmtId="0" fontId="17" fillId="0" borderId="62" xfId="0" applyFont="1" applyFill="1" applyBorder="1" applyAlignment="1" applyProtection="1">
      <alignment horizontal="center" vertical="center" wrapText="1"/>
      <protection/>
    </xf>
    <xf numFmtId="0" fontId="17" fillId="0" borderId="42" xfId="0" applyFont="1" applyFill="1" applyBorder="1" applyAlignment="1" applyProtection="1">
      <alignment horizontal="center" vertical="center" wrapText="1"/>
      <protection/>
    </xf>
    <xf numFmtId="0" fontId="17" fillId="0" borderId="33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vertical="center"/>
    </xf>
    <xf numFmtId="0" fontId="0" fillId="0" borderId="67" xfId="0" applyFill="1" applyBorder="1" applyAlignment="1">
      <alignment/>
    </xf>
    <xf numFmtId="0" fontId="16" fillId="0" borderId="81" xfId="0" applyFont="1" applyFill="1" applyBorder="1" applyAlignment="1" applyProtection="1">
      <alignment horizontal="left" vertical="center" wrapText="1"/>
      <protection locked="0"/>
    </xf>
    <xf numFmtId="166" fontId="16" fillId="0" borderId="8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83" xfId="0" applyFill="1" applyBorder="1" applyAlignment="1">
      <alignment/>
    </xf>
    <xf numFmtId="0" fontId="16" fillId="0" borderId="84" xfId="0" applyFont="1" applyFill="1" applyBorder="1" applyAlignment="1" applyProtection="1">
      <alignment horizontal="left" vertical="center" wrapText="1"/>
      <protection locked="0"/>
    </xf>
    <xf numFmtId="0" fontId="0" fillId="0" borderId="85" xfId="0" applyFill="1" applyBorder="1" applyAlignment="1">
      <alignment/>
    </xf>
    <xf numFmtId="0" fontId="16" fillId="0" borderId="86" xfId="0" applyFont="1" applyFill="1" applyBorder="1" applyAlignment="1" applyProtection="1">
      <alignment horizontal="left" vertical="center" wrapText="1"/>
      <protection locked="0"/>
    </xf>
    <xf numFmtId="0" fontId="16" fillId="0" borderId="43" xfId="0" applyFont="1" applyFill="1" applyBorder="1" applyAlignment="1" applyProtection="1">
      <alignment horizontal="left" vertical="center" wrapText="1"/>
      <protection locked="0"/>
    </xf>
    <xf numFmtId="0" fontId="0" fillId="0" borderId="42" xfId="0" applyFill="1" applyBorder="1" applyAlignment="1" applyProtection="1">
      <alignment vertical="center"/>
      <protection/>
    </xf>
    <xf numFmtId="0" fontId="15" fillId="0" borderId="62" xfId="0" applyFont="1" applyFill="1" applyBorder="1" applyAlignment="1" applyProtection="1">
      <alignment vertical="center" wrapText="1"/>
      <protection/>
    </xf>
    <xf numFmtId="166" fontId="15" fillId="0" borderId="42" xfId="0" applyNumberFormat="1" applyFont="1" applyFill="1" applyBorder="1" applyAlignment="1" applyProtection="1">
      <alignment vertical="center" wrapText="1"/>
      <protection/>
    </xf>
    <xf numFmtId="166" fontId="17" fillId="0" borderId="3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horizontal="center" vertical="center" wrapText="1"/>
      <protection/>
    </xf>
    <xf numFmtId="166" fontId="4" fillId="0" borderId="0" xfId="0" applyNumberFormat="1" applyFont="1" applyFill="1" applyAlignment="1" applyProtection="1">
      <alignment horizontal="right" vertical="center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right" vertical="center" wrapText="1" indent="1"/>
      <protection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166" fontId="13" fillId="0" borderId="12" xfId="0" applyNumberFormat="1" applyFont="1" applyFill="1" applyBorder="1" applyAlignment="1" applyProtection="1">
      <alignment vertical="center" wrapText="1"/>
      <protection locked="0"/>
    </xf>
    <xf numFmtId="166" fontId="13" fillId="0" borderId="12" xfId="0" applyNumberFormat="1" applyFont="1" applyFill="1" applyBorder="1" applyAlignment="1" applyProtection="1">
      <alignment vertical="center" wrapText="1"/>
      <protection/>
    </xf>
    <xf numFmtId="166" fontId="13" fillId="0" borderId="75" xfId="0" applyNumberFormat="1" applyFont="1" applyFill="1" applyBorder="1" applyAlignment="1" applyProtection="1">
      <alignment vertical="center" wrapText="1"/>
      <protection locked="0"/>
    </xf>
    <xf numFmtId="0" fontId="13" fillId="0" borderId="17" xfId="0" applyFont="1" applyFill="1" applyBorder="1" applyAlignment="1" applyProtection="1">
      <alignment horizontal="right" vertical="center" wrapText="1" indent="1"/>
      <protection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0" fontId="13" fillId="0" borderId="15" xfId="0" applyFont="1" applyFill="1" applyBorder="1" applyAlignment="1" applyProtection="1">
      <alignment horizontal="left" vertical="center" wrapText="1"/>
      <protection locked="0"/>
    </xf>
    <xf numFmtId="166" fontId="13" fillId="0" borderId="76" xfId="0" applyNumberFormat="1" applyFont="1" applyFill="1" applyBorder="1" applyAlignment="1" applyProtection="1">
      <alignment vertical="center" wrapText="1"/>
      <protection locked="0"/>
    </xf>
    <xf numFmtId="0" fontId="0" fillId="37" borderId="0" xfId="0" applyFill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179" fontId="3" fillId="0" borderId="75" xfId="0" applyNumberFormat="1" applyFont="1" applyFill="1" applyBorder="1" applyAlignment="1" applyProtection="1">
      <alignment horizontal="right" vertical="center"/>
      <protection locked="0"/>
    </xf>
    <xf numFmtId="0" fontId="16" fillId="0" borderId="10" xfId="0" applyFont="1" applyBorder="1" applyAlignment="1" applyProtection="1">
      <alignment horizontal="left" vertical="center" wrapText="1" indent="1"/>
      <protection/>
    </xf>
    <xf numFmtId="0" fontId="16" fillId="0" borderId="12" xfId="0" applyFont="1" applyBorder="1" applyAlignment="1" applyProtection="1">
      <alignment horizontal="left" wrapText="1" indent="1"/>
      <protection locked="0"/>
    </xf>
    <xf numFmtId="0" fontId="16" fillId="0" borderId="11" xfId="0" applyFont="1" applyBorder="1" applyAlignment="1" applyProtection="1">
      <alignment horizontal="left" wrapText="1" indent="1"/>
      <protection locked="0"/>
    </xf>
    <xf numFmtId="0" fontId="52" fillId="0" borderId="0" xfId="0" applyFont="1" applyFill="1" applyBorder="1" applyAlignment="1" applyProtection="1">
      <alignment horizontal="right"/>
      <protection locked="0"/>
    </xf>
    <xf numFmtId="0" fontId="13" fillId="0" borderId="11" xfId="0" applyFont="1" applyFill="1" applyBorder="1" applyAlignment="1" applyProtection="1">
      <alignment horizontal="left" vertical="center" wrapText="1" indent="1"/>
      <protection locked="0"/>
    </xf>
    <xf numFmtId="3" fontId="12" fillId="0" borderId="26" xfId="0" applyNumberFormat="1" applyFont="1" applyFill="1" applyBorder="1" applyAlignment="1" applyProtection="1">
      <alignment horizontal="right" vertical="center"/>
      <protection locked="0"/>
    </xf>
    <xf numFmtId="3" fontId="3" fillId="0" borderId="26" xfId="0" applyNumberFormat="1" applyFont="1" applyFill="1" applyBorder="1" applyAlignment="1" applyProtection="1">
      <alignment horizontal="right" vertical="center"/>
      <protection locked="0"/>
    </xf>
    <xf numFmtId="0" fontId="1" fillId="0" borderId="23" xfId="0" applyFont="1" applyFill="1" applyBorder="1" applyAlignment="1">
      <alignment vertical="center"/>
    </xf>
    <xf numFmtId="166" fontId="19" fillId="0" borderId="23" xfId="0" applyNumberFormat="1" applyFont="1" applyFill="1" applyBorder="1" applyAlignment="1">
      <alignment vertical="center" wrapText="1"/>
    </xf>
    <xf numFmtId="166" fontId="19" fillId="0" borderId="27" xfId="0" applyNumberFormat="1" applyFont="1" applyFill="1" applyBorder="1" applyAlignment="1">
      <alignment vertical="center" wrapText="1"/>
    </xf>
    <xf numFmtId="166" fontId="13" fillId="0" borderId="16" xfId="0" applyNumberFormat="1" applyFont="1" applyFill="1" applyBorder="1" applyAlignment="1" applyProtection="1">
      <alignment horizontal="left" vertical="center" wrapText="1"/>
      <protection locked="0"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1" xfId="0" applyNumberFormat="1" applyFont="1" applyFill="1" applyBorder="1" applyAlignment="1" applyProtection="1">
      <alignment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26" xfId="0" applyNumberFormat="1" applyFont="1" applyFill="1" applyBorder="1" applyAlignment="1" applyProtection="1">
      <alignment vertical="center" wrapText="1"/>
      <protection/>
    </xf>
    <xf numFmtId="166" fontId="13" fillId="0" borderId="0" xfId="0" applyNumberFormat="1" applyFont="1" applyFill="1" applyAlignment="1">
      <alignment vertical="center" wrapText="1"/>
    </xf>
    <xf numFmtId="166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16" fontId="0" fillId="37" borderId="0" xfId="0" applyNumberFormat="1" applyFill="1" applyAlignment="1" applyProtection="1">
      <alignment horizontal="center"/>
      <protection locked="0"/>
    </xf>
    <xf numFmtId="0" fontId="103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7" borderId="0" xfId="0" applyFont="1" applyFill="1" applyAlignment="1" applyProtection="1">
      <alignment/>
      <protection locked="0"/>
    </xf>
    <xf numFmtId="0" fontId="0" fillId="37" borderId="0" xfId="0" applyFill="1" applyAlignment="1" applyProtection="1">
      <alignment/>
      <protection locked="0"/>
    </xf>
    <xf numFmtId="0" fontId="5" fillId="37" borderId="0" xfId="0" applyFont="1" applyFill="1" applyAlignment="1" applyProtection="1">
      <alignment horizontal="center"/>
      <protection locked="0"/>
    </xf>
    <xf numFmtId="0" fontId="19" fillId="37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0" borderId="0" xfId="60" applyFont="1" applyFill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5" fillId="0" borderId="0" xfId="6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60" applyFont="1" applyFill="1" applyAlignment="1" applyProtection="1">
      <alignment horizontal="center" vertical="center"/>
      <protection locked="0"/>
    </xf>
    <xf numFmtId="166" fontId="20" fillId="0" borderId="30" xfId="60" applyNumberFormat="1" applyFont="1" applyFill="1" applyBorder="1" applyAlignment="1" applyProtection="1">
      <alignment horizontal="left" vertical="center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37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31" xfId="60" applyFont="1" applyFill="1" applyBorder="1" applyAlignment="1" applyProtection="1">
      <alignment horizontal="center" vertical="center" wrapText="1"/>
      <protection/>
    </xf>
    <xf numFmtId="0" fontId="6" fillId="0" borderId="87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44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6" fontId="5" fillId="0" borderId="0" xfId="60" applyNumberFormat="1" applyFont="1" applyFill="1" applyBorder="1" applyAlignment="1" applyProtection="1">
      <alignment horizontal="center" vertical="center"/>
      <protection locked="0"/>
    </xf>
    <xf numFmtId="166" fontId="5" fillId="0" borderId="0" xfId="60" applyNumberFormat="1" applyFont="1" applyFill="1" applyBorder="1" applyAlignment="1" applyProtection="1">
      <alignment horizontal="center" vertical="center"/>
      <protection/>
    </xf>
    <xf numFmtId="166" fontId="20" fillId="0" borderId="30" xfId="60" applyNumberFormat="1" applyFont="1" applyFill="1" applyBorder="1" applyAlignment="1" applyProtection="1">
      <alignment horizontal="left" vertical="center"/>
      <protection locked="0"/>
    </xf>
    <xf numFmtId="166" fontId="20" fillId="0" borderId="30" xfId="60" applyNumberFormat="1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 locked="0"/>
    </xf>
    <xf numFmtId="166" fontId="6" fillId="0" borderId="67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56" xfId="0" applyNumberFormat="1" applyFont="1" applyFill="1" applyBorder="1" applyAlignment="1" applyProtection="1">
      <alignment horizontal="center" vertical="center" wrapText="1"/>
      <protection locked="0"/>
    </xf>
    <xf numFmtId="166" fontId="104" fillId="0" borderId="63" xfId="0" applyNumberFormat="1" applyFont="1" applyFill="1" applyBorder="1" applyAlignment="1" applyProtection="1">
      <alignment horizontal="center" vertical="center" wrapText="1"/>
      <protection/>
    </xf>
    <xf numFmtId="166" fontId="8" fillId="0" borderId="0" xfId="0" applyNumberFormat="1" applyFont="1" applyFill="1" applyAlignment="1" applyProtection="1">
      <alignment horizontal="center" textRotation="180" wrapText="1"/>
      <protection locked="0"/>
    </xf>
    <xf numFmtId="166" fontId="5" fillId="0" borderId="0" xfId="0" applyNumberFormat="1" applyFont="1" applyFill="1" applyAlignment="1" applyProtection="1">
      <alignment horizontal="center" vertical="center" wrapText="1"/>
      <protection locked="0"/>
    </xf>
    <xf numFmtId="166" fontId="8" fillId="0" borderId="0" xfId="0" applyNumberFormat="1" applyFont="1" applyFill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horizontal="right" vertical="center" wrapText="1"/>
      <protection locked="0"/>
    </xf>
    <xf numFmtId="166" fontId="5" fillId="0" borderId="0" xfId="0" applyNumberFormat="1" applyFont="1" applyFill="1" applyAlignment="1" applyProtection="1">
      <alignment horizontal="left" vertical="center" wrapText="1"/>
      <protection locked="0"/>
    </xf>
    <xf numFmtId="166" fontId="12" fillId="0" borderId="42" xfId="0" applyNumberFormat="1" applyFont="1" applyFill="1" applyBorder="1" applyAlignment="1">
      <alignment horizontal="center" vertical="center"/>
    </xf>
    <xf numFmtId="166" fontId="12" fillId="0" borderId="4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166" fontId="0" fillId="0" borderId="57" xfId="0" applyNumberFormat="1" applyFill="1" applyBorder="1" applyAlignment="1" applyProtection="1">
      <alignment horizontal="left" vertical="center" wrapText="1"/>
      <protection locked="0"/>
    </xf>
    <xf numFmtId="166" fontId="0" fillId="0" borderId="71" xfId="0" applyNumberFormat="1" applyFill="1" applyBorder="1" applyAlignment="1" applyProtection="1">
      <alignment horizontal="left" vertical="center" wrapText="1"/>
      <protection locked="0"/>
    </xf>
    <xf numFmtId="166" fontId="6" fillId="0" borderId="42" xfId="0" applyNumberFormat="1" applyFont="1" applyFill="1" applyBorder="1" applyAlignment="1">
      <alignment horizontal="center" vertical="center" wrapText="1"/>
    </xf>
    <xf numFmtId="175" fontId="26" fillId="0" borderId="63" xfId="0" applyNumberFormat="1" applyFont="1" applyFill="1" applyBorder="1" applyAlignment="1" applyProtection="1">
      <alignment horizontal="left" vertical="center" wrapText="1"/>
      <protection locked="0"/>
    </xf>
    <xf numFmtId="166" fontId="4" fillId="0" borderId="30" xfId="0" applyNumberFormat="1" applyFont="1" applyFill="1" applyBorder="1" applyAlignment="1">
      <alignment horizontal="right" vertical="center"/>
    </xf>
    <xf numFmtId="175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center" textRotation="180"/>
    </xf>
    <xf numFmtId="166" fontId="4" fillId="0" borderId="30" xfId="0" applyNumberFormat="1" applyFont="1" applyFill="1" applyBorder="1" applyAlignment="1" applyProtection="1">
      <alignment horizontal="right" vertical="center"/>
      <protection locked="0"/>
    </xf>
    <xf numFmtId="166" fontId="6" fillId="0" borderId="80" xfId="0" applyNumberFormat="1" applyFont="1" applyFill="1" applyBorder="1" applyAlignment="1">
      <alignment horizontal="center" vertical="center"/>
    </xf>
    <xf numFmtId="166" fontId="6" fillId="0" borderId="41" xfId="0" applyNumberFormat="1" applyFont="1" applyFill="1" applyBorder="1" applyAlignment="1">
      <alignment horizontal="center" vertical="center"/>
    </xf>
    <xf numFmtId="166" fontId="6" fillId="0" borderId="55" xfId="0" applyNumberFormat="1" applyFont="1" applyFill="1" applyBorder="1" applyAlignment="1">
      <alignment horizontal="center" vertical="center"/>
    </xf>
    <xf numFmtId="166" fontId="6" fillId="0" borderId="42" xfId="0" applyNumberFormat="1" applyFont="1" applyFill="1" applyBorder="1" applyAlignment="1">
      <alignment horizontal="center" vertical="center" wrapText="1"/>
    </xf>
    <xf numFmtId="166" fontId="6" fillId="0" borderId="67" xfId="0" applyNumberFormat="1" applyFont="1" applyFill="1" applyBorder="1" applyAlignment="1">
      <alignment horizontal="center" vertical="center" wrapText="1"/>
    </xf>
    <xf numFmtId="166" fontId="6" fillId="0" borderId="43" xfId="0" applyNumberFormat="1" applyFont="1" applyFill="1" applyBorder="1" applyAlignment="1">
      <alignment horizontal="center" vertical="center" wrapText="1"/>
    </xf>
    <xf numFmtId="166" fontId="3" fillId="0" borderId="62" xfId="0" applyNumberFormat="1" applyFont="1" applyFill="1" applyBorder="1" applyAlignment="1">
      <alignment horizontal="left" vertical="center" wrapText="1" indent="2"/>
    </xf>
    <xf numFmtId="166" fontId="3" fillId="0" borderId="65" xfId="0" applyNumberFormat="1" applyFont="1" applyFill="1" applyBorder="1" applyAlignment="1">
      <alignment horizontal="left" vertical="center" wrapText="1" indent="2"/>
    </xf>
    <xf numFmtId="166" fontId="0" fillId="0" borderId="88" xfId="0" applyNumberFormat="1" applyFill="1" applyBorder="1" applyAlignment="1" applyProtection="1">
      <alignment horizontal="left" vertical="center" wrapText="1"/>
      <protection locked="0"/>
    </xf>
    <xf numFmtId="166" fontId="0" fillId="0" borderId="89" xfId="0" applyNumberFormat="1" applyFill="1" applyBorder="1" applyAlignment="1" applyProtection="1">
      <alignment horizontal="left" vertical="center" wrapText="1"/>
      <protection locked="0"/>
    </xf>
    <xf numFmtId="166" fontId="0" fillId="0" borderId="0" xfId="0" applyNumberFormat="1" applyFill="1" applyAlignment="1" applyProtection="1">
      <alignment horizontal="left" vertical="center" wrapText="1"/>
      <protection locked="0"/>
    </xf>
    <xf numFmtId="166" fontId="3" fillId="0" borderId="62" xfId="0" applyNumberFormat="1" applyFont="1" applyFill="1" applyBorder="1" applyAlignment="1">
      <alignment horizontal="center" vertical="center" wrapText="1"/>
    </xf>
    <xf numFmtId="166" fontId="3" fillId="0" borderId="65" xfId="0" applyNumberFormat="1" applyFont="1" applyFill="1" applyBorder="1" applyAlignment="1">
      <alignment horizontal="center" vertical="center" wrapText="1"/>
    </xf>
    <xf numFmtId="0" fontId="6" fillId="0" borderId="62" xfId="0" applyFont="1" applyFill="1" applyBorder="1" applyAlignment="1" applyProtection="1">
      <alignment horizontal="center" vertical="center" wrapText="1"/>
      <protection/>
    </xf>
    <xf numFmtId="0" fontId="6" fillId="0" borderId="65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34" fillId="0" borderId="30" xfId="0" applyFont="1" applyBorder="1" applyAlignment="1" applyProtection="1">
      <alignment horizontal="right" vertical="top"/>
      <protection locked="0"/>
    </xf>
    <xf numFmtId="0" fontId="1" fillId="0" borderId="30" xfId="0" applyFont="1" applyBorder="1" applyAlignment="1" applyProtection="1">
      <alignment/>
      <protection locked="0"/>
    </xf>
    <xf numFmtId="0" fontId="5" fillId="0" borderId="52" xfId="0" applyFont="1" applyFill="1" applyBorder="1" applyAlignment="1" applyProtection="1">
      <alignment horizontal="center" vertical="center"/>
      <protection locked="0"/>
    </xf>
    <xf numFmtId="0" fontId="5" fillId="0" borderId="65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166" fontId="8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0" xfId="0" applyFont="1" applyBorder="1" applyAlignment="1" applyProtection="1">
      <alignment horizontal="right"/>
      <protection locked="0"/>
    </xf>
    <xf numFmtId="0" fontId="6" fillId="0" borderId="62" xfId="0" applyFont="1" applyFill="1" applyBorder="1" applyAlignment="1" applyProtection="1">
      <alignment horizontal="left" vertical="center" wrapText="1" indent="1"/>
      <protection/>
    </xf>
    <xf numFmtId="0" fontId="6" fillId="0" borderId="32" xfId="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Alignment="1">
      <alignment vertical="center" wrapText="1"/>
    </xf>
    <xf numFmtId="0" fontId="8" fillId="0" borderId="0" xfId="0" applyFont="1" applyFill="1" applyAlignment="1" applyProtection="1">
      <alignment horizontal="right" vertical="center" wrapText="1"/>
      <protection/>
    </xf>
    <xf numFmtId="0" fontId="0" fillId="0" borderId="0" xfId="0" applyFont="1" applyAlignment="1">
      <alignment horizontal="right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textRotation="180"/>
    </xf>
    <xf numFmtId="0" fontId="35" fillId="0" borderId="30" xfId="0" applyFont="1" applyFill="1" applyBorder="1" applyAlignment="1" applyProtection="1">
      <alignment horizontal="center" vertical="center"/>
      <protection/>
    </xf>
    <xf numFmtId="0" fontId="7" fillId="0" borderId="63" xfId="0" applyFont="1" applyFill="1" applyBorder="1" applyAlignment="1">
      <alignment/>
    </xf>
    <xf numFmtId="0" fontId="6" fillId="0" borderId="20" xfId="60" applyFont="1" applyFill="1" applyBorder="1" applyAlignment="1" applyProtection="1">
      <alignment horizontal="center" vertical="center" wrapText="1"/>
      <protection locked="0"/>
    </xf>
    <xf numFmtId="0" fontId="6" fillId="0" borderId="21" xfId="60" applyFont="1" applyFill="1" applyBorder="1" applyAlignment="1" applyProtection="1">
      <alignment horizontal="center" vertical="center" wrapText="1"/>
      <protection locked="0"/>
    </xf>
    <xf numFmtId="0" fontId="6" fillId="0" borderId="13" xfId="60" applyFont="1" applyFill="1" applyBorder="1" applyAlignment="1" applyProtection="1">
      <alignment horizontal="center" vertical="center" wrapText="1"/>
      <protection locked="0"/>
    </xf>
    <xf numFmtId="0" fontId="6" fillId="0" borderId="28" xfId="60" applyFont="1" applyFill="1" applyBorder="1" applyAlignment="1" applyProtection="1">
      <alignment horizontal="center" vertical="center" wrapText="1"/>
      <protection locked="0"/>
    </xf>
    <xf numFmtId="0" fontId="6" fillId="0" borderId="25" xfId="60" applyFont="1" applyFill="1" applyBorder="1" applyAlignment="1" applyProtection="1">
      <alignment horizontal="center" vertical="center" wrapText="1"/>
      <protection locked="0"/>
    </xf>
    <xf numFmtId="0" fontId="6" fillId="0" borderId="31" xfId="60" applyFont="1" applyFill="1" applyBorder="1" applyAlignment="1" applyProtection="1">
      <alignment horizontal="center" vertical="center" wrapText="1"/>
      <protection locked="0"/>
    </xf>
    <xf numFmtId="166" fontId="6" fillId="0" borderId="13" xfId="60" applyNumberFormat="1" applyFont="1" applyFill="1" applyBorder="1" applyAlignment="1" applyProtection="1">
      <alignment horizontal="center" vertical="center"/>
      <protection locked="0"/>
    </xf>
    <xf numFmtId="166" fontId="6" fillId="0" borderId="44" xfId="60" applyNumberFormat="1" applyFont="1" applyFill="1" applyBorder="1" applyAlignment="1" applyProtection="1">
      <alignment horizontal="center" vertical="center"/>
      <protection locked="0"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0" fontId="6" fillId="0" borderId="21" xfId="60" applyFont="1" applyFill="1" applyBorder="1" applyAlignment="1" applyProtection="1">
      <alignment horizontal="center" vertical="center" wrapText="1"/>
      <protection/>
    </xf>
    <xf numFmtId="0" fontId="6" fillId="0" borderId="28" xfId="60" applyFont="1" applyFill="1" applyBorder="1" applyAlignment="1" applyProtection="1">
      <alignment horizontal="center" vertical="center" wrapText="1"/>
      <protection/>
    </xf>
    <xf numFmtId="166" fontId="6" fillId="0" borderId="13" xfId="60" applyNumberFormat="1" applyFont="1" applyFill="1" applyBorder="1" applyAlignment="1" applyProtection="1">
      <alignment horizontal="center" vertical="center"/>
      <protection/>
    </xf>
    <xf numFmtId="166" fontId="6" fillId="0" borderId="44" xfId="6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 wrapText="1"/>
      <protection locked="0"/>
    </xf>
    <xf numFmtId="166" fontId="6" fillId="0" borderId="24" xfId="0" applyNumberFormat="1" applyFont="1" applyFill="1" applyBorder="1" applyAlignment="1" applyProtection="1">
      <alignment horizontal="center" vertical="center" wrapText="1"/>
      <protection/>
    </xf>
    <xf numFmtId="166" fontId="6" fillId="0" borderId="37" xfId="0" applyNumberFormat="1" applyFont="1" applyFill="1" applyBorder="1" applyAlignment="1" applyProtection="1">
      <alignment horizontal="center" vertical="center" wrapText="1"/>
      <protection/>
    </xf>
    <xf numFmtId="166" fontId="6" fillId="0" borderId="25" xfId="0" applyNumberFormat="1" applyFont="1" applyFill="1" applyBorder="1" applyAlignment="1" applyProtection="1">
      <alignment horizontal="center" vertical="center" wrapText="1"/>
      <protection/>
    </xf>
    <xf numFmtId="166" fontId="6" fillId="0" borderId="31" xfId="0" applyNumberFormat="1" applyFont="1" applyFill="1" applyBorder="1" applyAlignment="1" applyProtection="1">
      <alignment horizontal="center" vertical="center"/>
      <protection/>
    </xf>
    <xf numFmtId="166" fontId="6" fillId="0" borderId="31" xfId="0" applyNumberFormat="1" applyFont="1" applyFill="1" applyBorder="1" applyAlignment="1" applyProtection="1">
      <alignment horizontal="center" vertical="center" wrapText="1"/>
      <protection/>
    </xf>
    <xf numFmtId="166" fontId="6" fillId="0" borderId="67" xfId="0" applyNumberFormat="1" applyFont="1" applyFill="1" applyBorder="1" applyAlignment="1" applyProtection="1">
      <alignment horizontal="center" vertical="center" wrapText="1"/>
      <protection/>
    </xf>
    <xf numFmtId="166" fontId="6" fillId="0" borderId="56" xfId="0" applyNumberFormat="1" applyFont="1" applyFill="1" applyBorder="1" applyAlignment="1" applyProtection="1">
      <alignment horizontal="center" vertical="center" wrapText="1"/>
      <protection/>
    </xf>
    <xf numFmtId="166" fontId="8" fillId="0" borderId="0" xfId="0" applyNumberFormat="1" applyFont="1" applyFill="1" applyAlignment="1" applyProtection="1">
      <alignment horizontal="center" textRotation="180" wrapText="1"/>
      <protection locked="0"/>
    </xf>
    <xf numFmtId="166" fontId="6" fillId="0" borderId="67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56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67" xfId="0" applyNumberFormat="1" applyFont="1" applyFill="1" applyBorder="1" applyAlignment="1" applyProtection="1">
      <alignment horizontal="center" vertical="center"/>
      <protection locked="0"/>
    </xf>
    <xf numFmtId="166" fontId="6" fillId="0" borderId="56" xfId="0" applyNumberFormat="1" applyFont="1" applyFill="1" applyBorder="1" applyAlignment="1" applyProtection="1">
      <alignment horizontal="center" vertical="center"/>
      <protection locked="0"/>
    </xf>
    <xf numFmtId="166" fontId="6" fillId="0" borderId="80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55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70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87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46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right"/>
      <protection locked="0"/>
    </xf>
    <xf numFmtId="0" fontId="6" fillId="0" borderId="80" xfId="0" applyFont="1" applyFill="1" applyBorder="1" applyAlignment="1" applyProtection="1">
      <alignment horizontal="center" vertical="center" wrapText="1"/>
      <protection locked="0"/>
    </xf>
    <xf numFmtId="0" fontId="6" fillId="0" borderId="55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center" vertical="center" wrapText="1"/>
      <protection locked="0"/>
    </xf>
    <xf numFmtId="0" fontId="6" fillId="0" borderId="63" xfId="0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Fill="1" applyBorder="1" applyAlignment="1" applyProtection="1">
      <alignment horizontal="center" vertical="center" wrapText="1"/>
      <protection locked="0"/>
    </xf>
    <xf numFmtId="0" fontId="6" fillId="0" borderId="52" xfId="0" applyFont="1" applyFill="1" applyBorder="1" applyAlignment="1" applyProtection="1">
      <alignment horizontal="center"/>
      <protection locked="0"/>
    </xf>
    <xf numFmtId="0" fontId="6" fillId="0" borderId="65" xfId="0" applyFont="1" applyFill="1" applyBorder="1" applyAlignment="1" applyProtection="1">
      <alignment horizontal="center"/>
      <protection locked="0"/>
    </xf>
    <xf numFmtId="0" fontId="6" fillId="0" borderId="77" xfId="0" applyFont="1" applyFill="1" applyBorder="1" applyAlignment="1" applyProtection="1">
      <alignment horizontal="center" vertical="center" wrapText="1"/>
      <protection locked="0"/>
    </xf>
    <xf numFmtId="0" fontId="6" fillId="0" borderId="69" xfId="0" applyFont="1" applyFill="1" applyBorder="1" applyAlignment="1" applyProtection="1">
      <alignment horizontal="center" vertical="center" wrapText="1"/>
      <protection locked="0"/>
    </xf>
    <xf numFmtId="0" fontId="6" fillId="0" borderId="80" xfId="0" applyFont="1" applyFill="1" applyBorder="1" applyAlignment="1">
      <alignment horizontal="left" vertical="center" wrapText="1"/>
    </xf>
    <xf numFmtId="0" fontId="6" fillId="0" borderId="63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 applyProtection="1">
      <alignment horizontal="left" vertical="center"/>
      <protection/>
    </xf>
    <xf numFmtId="0" fontId="12" fillId="0" borderId="32" xfId="0" applyFont="1" applyFill="1" applyBorder="1" applyAlignment="1" applyProtection="1">
      <alignment horizontal="left" vertical="center"/>
      <protection/>
    </xf>
    <xf numFmtId="0" fontId="6" fillId="0" borderId="80" xfId="0" applyFont="1" applyFill="1" applyBorder="1" applyAlignment="1" applyProtection="1">
      <alignment horizontal="left" vertical="center" wrapText="1"/>
      <protection/>
    </xf>
    <xf numFmtId="0" fontId="6" fillId="0" borderId="63" xfId="0" applyFont="1" applyFill="1" applyBorder="1" applyAlignment="1" applyProtection="1">
      <alignment horizontal="left" vertical="center" wrapText="1"/>
      <protection/>
    </xf>
    <xf numFmtId="0" fontId="6" fillId="0" borderId="46" xfId="0" applyFont="1" applyFill="1" applyBorder="1" applyAlignment="1" applyProtection="1">
      <alignment horizontal="left" vertical="center" wrapText="1"/>
      <protection/>
    </xf>
    <xf numFmtId="0" fontId="3" fillId="0" borderId="62" xfId="0" applyFont="1" applyFill="1" applyBorder="1" applyAlignment="1" applyProtection="1">
      <alignment horizontal="left" vertical="center"/>
      <protection/>
    </xf>
    <xf numFmtId="0" fontId="3" fillId="0" borderId="32" xfId="0" applyFont="1" applyFill="1" applyBorder="1" applyAlignment="1" applyProtection="1">
      <alignment horizontal="left" vertical="center"/>
      <protection/>
    </xf>
    <xf numFmtId="0" fontId="13" fillId="0" borderId="63" xfId="0" applyFont="1" applyFill="1" applyBorder="1" applyAlignment="1">
      <alignment horizontal="justify" vertical="center" wrapText="1"/>
    </xf>
    <xf numFmtId="0" fontId="8" fillId="0" borderId="0" xfId="0" applyFont="1" applyFill="1" applyAlignment="1" applyProtection="1">
      <alignment horizontal="right" vertical="center" wrapText="1"/>
      <protection locked="0"/>
    </xf>
    <xf numFmtId="0" fontId="19" fillId="0" borderId="62" xfId="0" applyFont="1" applyFill="1" applyBorder="1" applyAlignment="1">
      <alignment horizontal="left" vertical="center" indent="2"/>
    </xf>
    <xf numFmtId="0" fontId="19" fillId="0" borderId="32" xfId="0" applyFont="1" applyFill="1" applyBorder="1" applyAlignment="1">
      <alignment horizontal="left" vertical="center" indent="2"/>
    </xf>
    <xf numFmtId="0" fontId="8" fillId="0" borderId="0" xfId="0" applyFont="1" applyFill="1" applyAlignment="1" applyProtection="1">
      <alignment horizontal="right"/>
      <protection locked="0"/>
    </xf>
    <xf numFmtId="0" fontId="12" fillId="0" borderId="38" xfId="0" applyFont="1" applyFill="1" applyBorder="1" applyAlignment="1" applyProtection="1">
      <alignment horizontal="center" vertical="center"/>
      <protection locked="0"/>
    </xf>
    <xf numFmtId="0" fontId="12" fillId="0" borderId="90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59" xfId="0" applyFont="1" applyFill="1" applyBorder="1" applyAlignment="1">
      <alignment horizontal="center" vertical="center"/>
    </xf>
    <xf numFmtId="0" fontId="12" fillId="0" borderId="9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8" fillId="0" borderId="24" xfId="62" applyFont="1" applyFill="1" applyBorder="1" applyAlignment="1" applyProtection="1">
      <alignment horizontal="center" vertical="center" wrapText="1"/>
      <protection locked="0"/>
    </xf>
    <xf numFmtId="0" fontId="38" fillId="0" borderId="16" xfId="62" applyFont="1" applyFill="1" applyBorder="1" applyAlignment="1" applyProtection="1">
      <alignment horizontal="center" vertical="center" wrapText="1"/>
      <protection locked="0"/>
    </xf>
    <xf numFmtId="0" fontId="38" fillId="0" borderId="18" xfId="62" applyFont="1" applyFill="1" applyBorder="1" applyAlignment="1" applyProtection="1">
      <alignment horizontal="center" vertical="center" wrapText="1"/>
      <protection locked="0"/>
    </xf>
    <xf numFmtId="0" fontId="20" fillId="0" borderId="25" xfId="61" applyFont="1" applyFill="1" applyBorder="1" applyAlignment="1" applyProtection="1">
      <alignment horizontal="center" vertical="center" textRotation="90"/>
      <protection locked="0"/>
    </xf>
    <xf numFmtId="0" fontId="20" fillId="0" borderId="10" xfId="61" applyFont="1" applyFill="1" applyBorder="1" applyAlignment="1" applyProtection="1">
      <alignment horizontal="center" vertical="center" textRotation="90"/>
      <protection locked="0"/>
    </xf>
    <xf numFmtId="0" fontId="20" fillId="0" borderId="12" xfId="61" applyFont="1" applyFill="1" applyBorder="1" applyAlignment="1" applyProtection="1">
      <alignment horizontal="center" vertical="center" textRotation="90"/>
      <protection locked="0"/>
    </xf>
    <xf numFmtId="0" fontId="37" fillId="0" borderId="13" xfId="62" applyFont="1" applyFill="1" applyBorder="1" applyAlignment="1" applyProtection="1">
      <alignment horizontal="center" vertical="center" wrapText="1"/>
      <protection locked="0"/>
    </xf>
    <xf numFmtId="0" fontId="37" fillId="0" borderId="11" xfId="62" applyFont="1" applyFill="1" applyBorder="1" applyAlignment="1" applyProtection="1">
      <alignment horizontal="center" vertical="center" wrapText="1"/>
      <protection locked="0"/>
    </xf>
    <xf numFmtId="0" fontId="37" fillId="0" borderId="77" xfId="62" applyFont="1" applyFill="1" applyBorder="1" applyAlignment="1" applyProtection="1">
      <alignment horizontal="center" vertical="center" wrapText="1"/>
      <protection locked="0"/>
    </xf>
    <xf numFmtId="0" fontId="37" fillId="0" borderId="75" xfId="62" applyFont="1" applyFill="1" applyBorder="1" applyAlignment="1" applyProtection="1">
      <alignment horizontal="center" vertical="center" wrapText="1"/>
      <protection locked="0"/>
    </xf>
    <xf numFmtId="0" fontId="37" fillId="0" borderId="11" xfId="62" applyFont="1" applyFill="1" applyBorder="1" applyAlignment="1" applyProtection="1">
      <alignment horizontal="center" wrapText="1"/>
      <protection locked="0"/>
    </xf>
    <xf numFmtId="0" fontId="37" fillId="0" borderId="26" xfId="62" applyFont="1" applyFill="1" applyBorder="1" applyAlignment="1" applyProtection="1">
      <alignment horizontal="center" wrapText="1"/>
      <protection locked="0"/>
    </xf>
    <xf numFmtId="0" fontId="25" fillId="0" borderId="0" xfId="62" applyFont="1" applyFill="1" applyAlignment="1" applyProtection="1">
      <alignment horizontal="left"/>
      <protection/>
    </xf>
    <xf numFmtId="0" fontId="34" fillId="0" borderId="0" xfId="62" applyFont="1" applyFill="1" applyAlignment="1" applyProtection="1">
      <alignment horizontal="right"/>
      <protection locked="0"/>
    </xf>
    <xf numFmtId="0" fontId="35" fillId="0" borderId="0" xfId="62" applyFont="1" applyFill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5" fillId="0" borderId="0" xfId="62" applyFont="1" applyFill="1" applyAlignment="1" applyProtection="1">
      <alignment horizontal="center" vertical="center" wrapText="1"/>
      <protection locked="0"/>
    </xf>
    <xf numFmtId="0" fontId="35" fillId="0" borderId="0" xfId="62" applyFont="1" applyFill="1" applyAlignment="1" applyProtection="1">
      <alignment horizontal="center" vertical="center"/>
      <protection locked="0"/>
    </xf>
    <xf numFmtId="0" fontId="37" fillId="0" borderId="0" xfId="62" applyFont="1" applyFill="1" applyBorder="1" applyAlignment="1" applyProtection="1">
      <alignment horizontal="right"/>
      <protection locked="0"/>
    </xf>
    <xf numFmtId="0" fontId="25" fillId="0" borderId="0" xfId="62" applyFont="1" applyFill="1" applyAlignment="1" applyProtection="1">
      <alignment horizontal="center"/>
      <protection/>
    </xf>
    <xf numFmtId="0" fontId="8" fillId="0" borderId="0" xfId="61" applyFont="1" applyFill="1" applyAlignment="1" applyProtection="1">
      <alignment horizontal="right" vertical="center" wrapText="1"/>
      <protection locked="0"/>
    </xf>
    <xf numFmtId="0" fontId="0" fillId="0" borderId="0" xfId="61" applyFill="1" applyAlignment="1" applyProtection="1">
      <alignment horizontal="right" vertical="center" wrapText="1"/>
      <protection locked="0"/>
    </xf>
    <xf numFmtId="0" fontId="5" fillId="0" borderId="0" xfId="61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61" applyFont="1" applyFill="1" applyAlignment="1" applyProtection="1">
      <alignment horizontal="center" vertical="center" wrapText="1"/>
      <protection locked="0"/>
    </xf>
    <xf numFmtId="0" fontId="20" fillId="0" borderId="0" xfId="61" applyFont="1" applyFill="1" applyBorder="1" applyAlignment="1" applyProtection="1">
      <alignment horizontal="right" vertical="center"/>
      <protection locked="0"/>
    </xf>
    <xf numFmtId="0" fontId="5" fillId="0" borderId="20" xfId="61" applyFont="1" applyFill="1" applyBorder="1" applyAlignment="1" applyProtection="1">
      <alignment horizontal="center" vertical="center" wrapText="1"/>
      <protection locked="0"/>
    </xf>
    <xf numFmtId="0" fontId="5" fillId="0" borderId="17" xfId="61" applyFont="1" applyFill="1" applyBorder="1" applyAlignment="1" applyProtection="1">
      <alignment horizontal="center" vertical="center" wrapText="1"/>
      <protection locked="0"/>
    </xf>
    <xf numFmtId="0" fontId="20" fillId="0" borderId="13" xfId="61" applyFont="1" applyFill="1" applyBorder="1" applyAlignment="1" applyProtection="1">
      <alignment horizontal="center" vertical="center" textRotation="90"/>
      <protection locked="0"/>
    </xf>
    <xf numFmtId="0" fontId="20" fillId="0" borderId="11" xfId="61" applyFont="1" applyFill="1" applyBorder="1" applyAlignment="1" applyProtection="1">
      <alignment horizontal="center" vertical="center" textRotation="90"/>
      <protection locked="0"/>
    </xf>
    <xf numFmtId="0" fontId="4" fillId="0" borderId="44" xfId="61" applyFont="1" applyFill="1" applyBorder="1" applyAlignment="1" applyProtection="1">
      <alignment horizontal="center" vertical="center" wrapText="1"/>
      <protection locked="0"/>
    </xf>
    <xf numFmtId="0" fontId="4" fillId="0" borderId="26" xfId="61" applyFont="1" applyFill="1" applyBorder="1" applyAlignment="1" applyProtection="1">
      <alignment horizontal="center" vertical="center"/>
      <protection locked="0"/>
    </xf>
    <xf numFmtId="0" fontId="35" fillId="0" borderId="0" xfId="62" applyFont="1" applyFill="1" applyAlignment="1">
      <alignment horizontal="center" vertical="center" wrapText="1"/>
      <protection/>
    </xf>
    <xf numFmtId="0" fontId="35" fillId="0" borderId="0" xfId="62" applyFont="1" applyFill="1" applyAlignment="1">
      <alignment horizontal="center" vertical="center"/>
      <protection/>
    </xf>
    <xf numFmtId="0" fontId="15" fillId="0" borderId="62" xfId="62" applyFont="1" applyFill="1" applyBorder="1" applyAlignment="1">
      <alignment horizontal="left"/>
      <protection/>
    </xf>
    <xf numFmtId="0" fontId="15" fillId="0" borderId="32" xfId="62" applyFont="1" applyFill="1" applyBorder="1" applyAlignment="1">
      <alignment horizontal="left"/>
      <protection/>
    </xf>
    <xf numFmtId="3" fontId="25" fillId="0" borderId="0" xfId="62" applyNumberFormat="1" applyFont="1" applyFill="1" applyAlignment="1">
      <alignment horizontal="center"/>
      <protection/>
    </xf>
    <xf numFmtId="0" fontId="34" fillId="0" borderId="0" xfId="62" applyFont="1" applyFill="1" applyAlignment="1">
      <alignment horizontal="right"/>
      <protection/>
    </xf>
    <xf numFmtId="0" fontId="35" fillId="0" borderId="0" xfId="62" applyFont="1" applyFill="1" applyAlignment="1">
      <alignment horizontal="center"/>
      <protection/>
    </xf>
    <xf numFmtId="0" fontId="8" fillId="0" borderId="0" xfId="0" applyFont="1" applyAlignment="1" applyProtection="1">
      <alignment horizontal="center" textRotation="180"/>
      <protection locked="0"/>
    </xf>
    <xf numFmtId="0" fontId="44" fillId="0" borderId="22" xfId="0" applyFont="1" applyBorder="1" applyAlignment="1" applyProtection="1">
      <alignment wrapText="1"/>
      <protection/>
    </xf>
    <xf numFmtId="0" fontId="44" fillId="0" borderId="23" xfId="0" applyFont="1" applyBorder="1" applyAlignment="1" applyProtection="1">
      <alignment wrapText="1"/>
      <protection/>
    </xf>
    <xf numFmtId="0" fontId="44" fillId="0" borderId="0" xfId="0" applyFont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right"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  <cellStyle name="Százalék 2" xfId="70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6"/>
  <sheetViews>
    <sheetView zoomScale="120" zoomScaleNormal="120" zoomScalePageLayoutView="0" workbookViewId="0" topLeftCell="A1">
      <selection activeCell="C25" sqref="C25"/>
    </sheetView>
  </sheetViews>
  <sheetFormatPr defaultColWidth="9.00390625" defaultRowHeight="12.75"/>
  <cols>
    <col min="1" max="1" width="34.875" style="0" customWidth="1"/>
    <col min="2" max="2" width="91.125" style="0" customWidth="1"/>
    <col min="3" max="3" width="35.375" style="0" customWidth="1"/>
  </cols>
  <sheetData>
    <row r="2" spans="1:3" ht="18.75">
      <c r="A2" s="787" t="s">
        <v>809</v>
      </c>
      <c r="B2" s="787"/>
      <c r="C2" s="787"/>
    </row>
    <row r="3" spans="1:3" ht="15">
      <c r="A3" s="717"/>
      <c r="B3" s="718"/>
      <c r="C3" s="717"/>
    </row>
    <row r="4" spans="1:3" ht="14.25">
      <c r="A4" s="719" t="s">
        <v>810</v>
      </c>
      <c r="B4" s="720" t="s">
        <v>811</v>
      </c>
      <c r="C4" s="719" t="s">
        <v>812</v>
      </c>
    </row>
    <row r="5" spans="1:3" ht="12.75">
      <c r="A5" s="721"/>
      <c r="B5" s="721"/>
      <c r="C5" s="721"/>
    </row>
    <row r="6" spans="1:3" ht="18.75">
      <c r="A6" s="788" t="s">
        <v>844</v>
      </c>
      <c r="B6" s="788"/>
      <c r="C6" s="788"/>
    </row>
    <row r="7" spans="1:3" ht="12.75">
      <c r="A7" s="721" t="s">
        <v>813</v>
      </c>
      <c r="B7" s="721" t="s">
        <v>814</v>
      </c>
      <c r="C7" s="722" t="str">
        <f ca="1">HYPERLINK(SUBSTITUTE(CELL("address",Z_ALAPADATOK!A1),"'",""),SUBSTITUTE(MID(CELL("address",Z_ALAPADATOK!A1),SEARCH("]",CELL("address",Z_ALAPADATOK!A1),1)+1,LEN(CELL("address",Z_ALAPADATOK!A1))-SEARCH("]",CELL("address",Z_ALAPADATOK!A1),1)),"'",""))</f>
        <v>Z_ALAPADATOK!$A$1</v>
      </c>
    </row>
    <row r="8" spans="1:3" ht="12.75">
      <c r="A8" s="721" t="s">
        <v>815</v>
      </c>
      <c r="B8" s="721" t="s">
        <v>852</v>
      </c>
      <c r="C8" s="722" t="str">
        <f ca="1">HYPERLINK(SUBSTITUTE(CELL("address",Z_ÖSSZEFÜGGÉSEK!A1),"'",""),SUBSTITUTE(MID(CELL("address",Z_ÖSSZEFÜGGÉSEK!A1),SEARCH("]",CELL("address",Z_ÖSSZEFÜGGÉSEK!A1),1)+1,LEN(CELL("address",Z_ÖSSZEFÜGGÉSEK!A1))-SEARCH("]",CELL("address",Z_ÖSSZEFÜGGÉSEK!A1),1)),"'",""))</f>
        <v>Z_ÖSSZEFÜGGÉSEK!$A$1</v>
      </c>
    </row>
    <row r="9" spans="1:3" ht="12.75">
      <c r="A9" s="721" t="s">
        <v>816</v>
      </c>
      <c r="B9" s="721" t="str">
        <f>CONCATENATE(LOWER('Z_1.1.sz.mell.'!A3))</f>
        <v>2018. évi zárszámadásának pénzügyi mérlege</v>
      </c>
      <c r="C9" s="722" t="str">
        <f ca="1">HYPERLINK(SUBSTITUTE(CELL("address",'Z_1.1.sz.mell.'!A1),"'",""),SUBSTITUTE(MID(CELL("address",'Z_1.1.sz.mell.'!A1),SEARCH("]",CELL("address",'Z_1.1.sz.mell.'!A1),1)+1,LEN(CELL("address",'Z_1.1.sz.mell.'!A1))-SEARCH("]",CELL("address",'Z_1.1.sz.mell.'!A1),1)),"'",""))</f>
        <v>Z_1.1.sz.mell.!$A$1</v>
      </c>
    </row>
    <row r="10" spans="1:3" ht="12.75">
      <c r="A10" s="721" t="s">
        <v>817</v>
      </c>
      <c r="B10" s="721" t="str">
        <f>'Z_1.2.sz.mell.'!A3</f>
        <v>2018. ÉVI ZÁRSZÁMADSÁS</v>
      </c>
      <c r="C10" s="722" t="str">
        <f ca="1">HYPERLINK(SUBSTITUTE(CELL("address",'Z_1.2.sz.mell.'!A1),"'",""),SUBSTITUTE(MID(CELL("address",'Z_1.2.sz.mell.'!A1),SEARCH("]",CELL("address",'Z_1.2.sz.mell.'!A1),1)+1,LEN(CELL("address",'Z_1.2.sz.mell.'!A1))-SEARCH("]",CELL("address",'Z_1.2.sz.mell.'!A1),1)),"'",""))</f>
        <v>Z_1.2.sz.mell.!$A$1</v>
      </c>
    </row>
    <row r="11" spans="1:3" ht="12.75">
      <c r="A11" s="721" t="s">
        <v>818</v>
      </c>
      <c r="B11" s="721" t="str">
        <f>'Z_1.3.sz.mell.'!A3</f>
        <v>2018. ÉVI ZÁRSZÁMADSÁS</v>
      </c>
      <c r="C11" s="722" t="str">
        <f ca="1">HYPERLINK(SUBSTITUTE(CELL("address",'Z_1.3.sz.mell.'!A1),"'",""),SUBSTITUTE(MID(CELL("address",'Z_1.3.sz.mell.'!A1),SEARCH("]",CELL("address",'Z_1.3.sz.mell.'!A1),1)+1,LEN(CELL("address",'Z_1.3.sz.mell.'!A1))-SEARCH("]",CELL("address",'Z_1.3.sz.mell.'!A1),1)),"'",""))</f>
        <v>Z_1.3.sz.mell.!$A$1</v>
      </c>
    </row>
    <row r="12" spans="1:3" ht="12.75">
      <c r="A12" s="721" t="s">
        <v>819</v>
      </c>
      <c r="B12" s="721" t="str">
        <f>'Z_1.4.sz.mell.'!A3</f>
        <v>2018. ÉVI ZÁRSZÁMADSÁS</v>
      </c>
      <c r="C12" s="722" t="str">
        <f ca="1">HYPERLINK(SUBSTITUTE(CELL("address",'Z_1.4.sz.mell.'!A1),"'",""),SUBSTITUTE(MID(CELL("address",'Z_1.4.sz.mell.'!A1),SEARCH("]",CELL("address",'Z_1.4.sz.mell.'!A1),1)+1,LEN(CELL("address",'Z_1.4.sz.mell.'!A1))-SEARCH("]",CELL("address",'Z_1.4.sz.mell.'!A1),1)),"'",""))</f>
        <v>Z_1.4.sz.mell.!$A$1</v>
      </c>
    </row>
    <row r="13" spans="1:3" ht="12.75">
      <c r="A13" s="721" t="s">
        <v>524</v>
      </c>
      <c r="B13" s="721" t="s">
        <v>820</v>
      </c>
      <c r="C13" s="722" t="str">
        <f ca="1">HYPERLINK(SUBSTITUTE(CELL("address",'Z_2.1.sz.mell'!A1),"'",""),SUBSTITUTE(MID(CELL("address",'Z_2.1.sz.mell'!A1),SEARCH("]",CELL("address",'Z_2.1.sz.mell'!A1),1)+1,LEN(CELL("address",'Z_2.1.sz.mell'!A1))-SEARCH("]",CELL("address",'Z_2.1.sz.mell'!A1),1)),"'",""))</f>
        <v>Z_2.1.sz.mell!$A$1</v>
      </c>
    </row>
    <row r="14" spans="1:3" ht="12.75">
      <c r="A14" s="721" t="s">
        <v>427</v>
      </c>
      <c r="B14" s="721" t="s">
        <v>821</v>
      </c>
      <c r="C14" s="722" t="str">
        <f ca="1">HYPERLINK(SUBSTITUTE(CELL("address",'Z_2.2.sz.mell'!A1),"'",""),SUBSTITUTE(MID(CELL("address",'Z_2.2.sz.mell'!A1),SEARCH("]",CELL("address",'Z_2.2.sz.mell'!A1),1)+1,LEN(CELL("address",'Z_2.2.sz.mell'!A1))-SEARCH("]",CELL("address",'Z_2.2.sz.mell'!A1),1)),"'",""))</f>
        <v>Z_2.2.sz.mell!$A$1</v>
      </c>
    </row>
    <row r="15" spans="1:3" ht="12.75">
      <c r="A15" s="721" t="s">
        <v>822</v>
      </c>
      <c r="B15" s="721" t="s">
        <v>823</v>
      </c>
      <c r="C15" s="722" t="str">
        <f ca="1">HYPERLINK(SUBSTITUTE(CELL("address",Z_ELLENŐRZÉS!A1),"'",""),SUBSTITUTE(MID(CELL("address",Z_ELLENŐRZÉS!A1),SEARCH("]",CELL("address",Z_ELLENŐRZÉS!A1),1)+1,LEN(CELL("address",Z_ELLENŐRZÉS!A1))-SEARCH("]",CELL("address",Z_ELLENŐRZÉS!A1),1)),"'",""))</f>
        <v>Z_ELLENŐRZÉS!$A$1</v>
      </c>
    </row>
    <row r="16" spans="1:3" ht="12.75">
      <c r="A16" s="721" t="s">
        <v>824</v>
      </c>
      <c r="B16" s="721" t="s">
        <v>825</v>
      </c>
      <c r="C16" s="722" t="str">
        <f ca="1">HYPERLINK(SUBSTITUTE(CELL("address",'Z_3.sz.mell.'!A1),"'",""),SUBSTITUTE(MID(CELL("address",'Z_3.sz.mell.'!A1),SEARCH("]",CELL("address",'Z_3.sz.mell.'!A1),1)+1,LEN(CELL("address",'Z_3.sz.mell.'!A1))-SEARCH("]",CELL("address",'Z_3.sz.mell.'!A1),1)),"'",""))</f>
        <v>Z_3.sz.mell.!$A$1</v>
      </c>
    </row>
    <row r="17" spans="1:3" ht="12.75">
      <c r="A17" s="721" t="s">
        <v>826</v>
      </c>
      <c r="B17" s="721" t="s">
        <v>827</v>
      </c>
      <c r="C17" s="722" t="str">
        <f ca="1">HYPERLINK(SUBSTITUTE(CELL("address",'Z_4.sz.mell.'!A1),"'",""),SUBSTITUTE(MID(CELL("address",'Z_4.sz.mell.'!A1),SEARCH("]",CELL("address",'Z_4.sz.mell.'!A1),1)+1,LEN(CELL("address",'Z_4.sz.mell.'!A1))-SEARCH("]",CELL("address",'Z_4.sz.mell.'!A1),1)),"'",""))</f>
        <v>Z_4.sz.mell.!$A$1</v>
      </c>
    </row>
    <row r="18" spans="1:3" ht="12.75">
      <c r="A18" s="721" t="s">
        <v>828</v>
      </c>
      <c r="B18" s="721" t="str">
        <f>'Z_5.sz.mell.'!A2</f>
        <v>Európai uniós támogatással megvalósuló projektek</v>
      </c>
      <c r="C18" s="722" t="str">
        <f ca="1">HYPERLINK(SUBSTITUTE(CELL("address",'Z_5.sz.mell.'!A1),"'",""),SUBSTITUTE(MID(CELL("address",'Z_5.sz.mell.'!A1),SEARCH("]",CELL("address",'Z_5.sz.mell.'!A1),1)+1,LEN(CELL("address",'Z_5.sz.mell.'!A1))-SEARCH("]",CELL("address",'Z_5.sz.mell.'!A1),1)),"'",""))</f>
        <v>Z_5.sz.mell.!$A$1</v>
      </c>
    </row>
    <row r="19" spans="1:3" ht="12.75">
      <c r="A19" s="721" t="s">
        <v>531</v>
      </c>
      <c r="B19" s="721" t="s">
        <v>829</v>
      </c>
      <c r="C19" s="722" t="str">
        <f ca="1">HYPERLINK(SUBSTITUTE(CELL("address",'Z_6.1.sz.mell'!A1),"'",""),SUBSTITUTE(MID(CELL("address",'Z_6.1.sz.mell'!A1),SEARCH("]",CELL("address",'Z_6.1.sz.mell'!A1),1)+1,LEN(CELL("address",'Z_6.1.sz.mell'!A1))-SEARCH("]",CELL("address",'Z_6.1.sz.mell'!A1),1)),"'",""))</f>
        <v>Z_6.1.sz.mell!$A$1</v>
      </c>
    </row>
    <row r="20" spans="1:3" ht="12.75">
      <c r="A20" s="721" t="s">
        <v>462</v>
      </c>
      <c r="B20" s="721" t="s">
        <v>830</v>
      </c>
      <c r="C20" s="722" t="str">
        <f ca="1">HYPERLINK(SUBSTITUTE(CELL("address",'Z_6.1.1.sz.mell'!A1),"'",""),SUBSTITUTE(MID(CELL("address",'Z_6.1.1.sz.mell'!A1),SEARCH("]",CELL("address",'Z_6.1.1.sz.mell'!A1),1)+1,LEN(CELL("address",'Z_6.1.1.sz.mell'!A1))-SEARCH("]",CELL("address",'Z_6.1.1.sz.mell'!A1),1)),"'",""))</f>
        <v>Z_6.1.1.sz.mell!$A$1</v>
      </c>
    </row>
    <row r="21" spans="1:3" ht="12.75">
      <c r="A21" s="721" t="s">
        <v>463</v>
      </c>
      <c r="B21" s="721" t="s">
        <v>326</v>
      </c>
      <c r="C21" s="722" t="str">
        <f ca="1">HYPERLINK(SUBSTITUTE(CELL("address",'Z_6.1.2.sz.mell'!A1),"'",""),SUBSTITUTE(MID(CELL("address",'Z_6.1.2.sz.mell'!A1),SEARCH("]",CELL("address",'Z_6.1.2.sz.mell'!A1),1)+1,LEN(CELL("address",'Z_6.1.2.sz.mell'!A1))-SEARCH("]",CELL("address",'Z_6.1.2.sz.mell'!A1),1)),"'",""))</f>
        <v>Z_6.1.2.sz.mell!$A$1</v>
      </c>
    </row>
    <row r="22" spans="1:3" ht="12.75">
      <c r="A22" s="721" t="s">
        <v>831</v>
      </c>
      <c r="B22" s="721" t="s">
        <v>832</v>
      </c>
      <c r="C22" s="722" t="str">
        <f ca="1">HYPERLINK(SUBSTITUTE(CELL("address",'Z_6.1.3.sz.mell'!A1),"'",""),SUBSTITUTE(MID(CELL("address",'Z_6.1.3.sz.mell'!A1),SEARCH("]",CELL("address",'Z_6.1.3.sz.mell'!A1),1)+1,LEN(CELL("address",'Z_6.1.3.sz.mell'!A1))-SEARCH("]",CELL("address",'Z_6.1.3.sz.mell'!A1),1)),"'",""))</f>
        <v>Z_6.1.3.sz.mell!$A$1</v>
      </c>
    </row>
    <row r="23" spans="1:3" ht="12.75">
      <c r="A23" s="721" t="s">
        <v>833</v>
      </c>
      <c r="B23" s="721" t="str">
        <f>Z_ALAPADATOK!A11</f>
        <v>Kállósemjéni Polgármesteri /Közös Önkormányzati Hivatal</v>
      </c>
      <c r="C23" s="722" t="str">
        <f ca="1">HYPERLINK(SUBSTITUTE(CELL("address",'Z_6.2.sz.mell'!A1),"'",""),SUBSTITUTE(MID(CELL("address",'Z_6.2.sz.mell'!A1),SEARCH("]",CELL("address",'Z_6.2.sz.mell'!A1),1)+1,LEN(CELL("address",'Z_6.2.sz.mell'!A1))-SEARCH("]",CELL("address",'Z_6.2.sz.mell'!A1),1)),"'",""))</f>
        <v>Z_6.2.sz.mell!$A$1</v>
      </c>
    </row>
    <row r="24" spans="1:3" ht="12.75">
      <c r="A24" s="721" t="s">
        <v>834</v>
      </c>
      <c r="B24" t="str">
        <f>Z_ALAPADATOK!B13</f>
        <v>Ficánka Óvoda, Mini Bölcsőde és Konyha</v>
      </c>
      <c r="C24" s="722" t="str">
        <f ca="1">HYPERLINK(SUBSTITUTE(CELL("address",'Z_6.3.sz.mell'!A1),"'",""),SUBSTITUTE(MID(CELL("address",'Z_6.3.sz.mell'!A1),SEARCH("]",CELL("address",'Z_6.3.sz.mell'!A1),1)+1,LEN(CELL("address",'Z_6.3.sz.mell'!A1))-SEARCH("]",CELL("address",'Z_6.3.sz.mell'!A1),1)),"'",""))</f>
        <v>Z_6.3.sz.mell!$A$1</v>
      </c>
    </row>
    <row r="25" spans="1:3" ht="12.75">
      <c r="A25" s="721" t="s">
        <v>835</v>
      </c>
      <c r="B25" t="str">
        <f>Z_ALAPADATOK!B15</f>
        <v>2 kvi név</v>
      </c>
      <c r="C25" s="72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6" spans="1:3" ht="12.75">
      <c r="A26" s="721" t="s">
        <v>836</v>
      </c>
      <c r="B26" t="str">
        <f>Z_ALAPADATOK!B17</f>
        <v>3 kvi név</v>
      </c>
      <c r="C26" s="72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ht="12.75">
      <c r="A27" s="721" t="s">
        <v>837</v>
      </c>
      <c r="B27" t="str">
        <f>Z_ALAPADATOK!B19</f>
        <v>4 kvi név</v>
      </c>
      <c r="C27" s="72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ht="12.75">
      <c r="A28" s="721" t="s">
        <v>838</v>
      </c>
      <c r="B28" t="str">
        <f>Z_ALAPADATOK!B21</f>
        <v>5 kvi név</v>
      </c>
      <c r="C28" s="72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ht="12.75">
      <c r="A29" s="721" t="s">
        <v>839</v>
      </c>
      <c r="B29" t="str">
        <f>Z_ALAPADATOK!B23</f>
        <v>6 kvi név</v>
      </c>
      <c r="C29" s="72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ht="12.75">
      <c r="A30" s="721" t="s">
        <v>840</v>
      </c>
      <c r="B30" t="str">
        <f>Z_ALAPADATOK!B25</f>
        <v>7 kvi név</v>
      </c>
      <c r="C30" s="72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ht="12.75">
      <c r="A31" s="721" t="s">
        <v>841</v>
      </c>
      <c r="B31" t="str">
        <f>Z_ALAPADATOK!B27</f>
        <v>8 kvi név</v>
      </c>
      <c r="C31" s="72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ht="12.75">
      <c r="A32" s="721" t="s">
        <v>842</v>
      </c>
      <c r="B32" t="str">
        <f>Z_ALAPADATOK!B29</f>
        <v>9 kvi név</v>
      </c>
      <c r="C32" s="72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ht="12.75">
      <c r="A33" s="721" t="s">
        <v>843</v>
      </c>
      <c r="B33" t="str">
        <f>Z_ALAPADATOK!B31</f>
        <v>10 kvi név</v>
      </c>
      <c r="C33" s="72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ht="12.75">
      <c r="A34" s="721" t="s">
        <v>871</v>
      </c>
      <c r="B34" t="str">
        <f>PROPER('Z_7.sz.mell'!A3)</f>
        <v>Költségvetési Szervek Maradványának Alakulása</v>
      </c>
      <c r="C34" s="722" t="str">
        <f ca="1">HYPERLINK(SUBSTITUTE(CELL("address",'Z_7.sz.mell'!A1),"'",""),SUBSTITUTE(MID(CELL("address",'Z_7.sz.mell'!A1),SEARCH("]",CELL("address",'Z_7.sz.mell'!A1),1)+1,LEN(CELL("address",'Z_7.sz.mell'!A1))-SEARCH("]",CELL("address",'Z_7.sz.mell'!A1),1)),"'",""))</f>
        <v>Z_7.sz.mell!$A$1</v>
      </c>
    </row>
    <row r="35" spans="1:3" ht="12.75">
      <c r="A35" s="721" t="s">
        <v>872</v>
      </c>
      <c r="B35" t="str">
        <f>'Z_8.sz.mell'!B1</f>
        <v>2018. évi általános működés és ágazati feladatok támogatásának alakulása jogcímenként</v>
      </c>
      <c r="C35" s="722" t="str">
        <f ca="1">HYPERLINK(SUBSTITUTE(CELL("address",'Z_8.sz.mell'!A1),"'",""),SUBSTITUTE(MID(CELL("address",'Z_8.sz.mell'!A1),SEARCH("]",CELL("address",'Z_8.sz.mell'!A1),1)+1,LEN(CELL("address",'Z_8.sz.mell'!A1))-SEARCH("]",CELL("address",'Z_8.sz.mell'!A1),1)),"'",""))</f>
        <v>Z_8.sz.mell!$A$1</v>
      </c>
    </row>
    <row r="36" spans="1:3" ht="12.75">
      <c r="A36" s="721" t="s">
        <v>787</v>
      </c>
      <c r="B36" t="str">
        <f>CONCATENATE(PROPER('Z_1.tájékoztató_t.'!A2)," ",LOWER('Z_1.tájékoztató_t.'!A3))</f>
        <v>Kállósemjén Nagyközség Önkormányzata 2019. évi zárszámadásának pénzügyi mérlege</v>
      </c>
      <c r="C36" s="722" t="str">
        <f ca="1">HYPERLINK(SUBSTITUTE(CELL("address",'Z_1.tájékoztató_t.'!A1),"'",""),SUBSTITUTE(MID(CELL("address",'Z_1.tájékoztató_t.'!A1),SEARCH("]",CELL("address",'Z_1.tájékoztató_t.'!A1),1)+1,LEN(CELL("address",'Z_1.tájékoztató_t.'!A1))-SEARCH("]",CELL("address",'Z_1.tájékoztató_t.'!A1),1)),"'",""))</f>
        <v>Z_1.tájékoztató_t.!$A$1</v>
      </c>
    </row>
    <row r="37" spans="1:3" ht="12.75">
      <c r="A37" s="721" t="s">
        <v>789</v>
      </c>
      <c r="B37" t="str">
        <f>'Z_2.tájékoztató_t.'!A1</f>
        <v>Többéves kihatással járó döntésekből származó kötzelezettségek célok szerinti, évenkénti bontásban</v>
      </c>
      <c r="C37" s="722" t="str">
        <f ca="1">HYPERLINK(SUBSTITUTE(CELL("address",'Z_2.tájékoztató_t.'!A2),"'",""),SUBSTITUTE(MID(CELL("address",'Z_2.tájékoztató_t.'!A2),SEARCH("]",CELL("address",'Z_2.tájékoztató_t.'!A2),1)+1,LEN(CELL("address",'Z_2.tájékoztató_t.'!A2))-SEARCH("]",CELL("address",'Z_2.tájékoztató_t.'!A2),1)),"'",""))</f>
        <v>Z_2.tájékoztató_t.!$A$2</v>
      </c>
    </row>
    <row r="38" spans="1:3" ht="12.75">
      <c r="A38" s="721" t="s">
        <v>793</v>
      </c>
      <c r="B38" t="str">
        <f>'Z_3.tájékoztató_t.'!A1</f>
        <v>Az önkormányzat által nyújtott hitel és kölcsön alakulása lejárat és eszközök szerinti bontásban</v>
      </c>
      <c r="C38" s="722" t="str">
        <f ca="1">HYPERLINK(SUBSTITUTE(CELL("address",'Z_3.tájékoztató_t.'!A1),"'",""),SUBSTITUTE(MID(CELL("address",'Z_3.tájékoztató_t.'!A1),SEARCH("]",CELL("address",'Z_3.tájékoztató_t.'!A1),1)+1,LEN(CELL("address",'Z_3.tájékoztató_t.'!A1))-SEARCH("]",CELL("address",'Z_3.tájékoztató_t.'!A1),1)),"'",""))</f>
        <v>Z_3.tájékoztató_t.!$A$1</v>
      </c>
    </row>
    <row r="39" spans="1:3" ht="12.75">
      <c r="A39" s="721" t="s">
        <v>794</v>
      </c>
      <c r="B39" t="str">
        <f>'Z_4.tájékoztató_t.'!A1</f>
        <v>Adósság állomány alakulása lejárat, eszközök, bel- és külföldi hitelezők szerinti bontásban
2018. december 31-én</v>
      </c>
      <c r="C39" s="722" t="str">
        <f ca="1">HYPERLINK(SUBSTITUTE(CELL("address",'Z_4.tájékoztató_t.'!A1),"'",""),SUBSTITUTE(MID(CELL("address",'Z_4.tájékoztató_t.'!A1),SEARCH("]",CELL("address",'Z_4.tájékoztató_t.'!A1),1)+1,LEN(CELL("address",'Z_4.tájékoztató_t.'!A1))-SEARCH("]",CELL("address",'Z_4.tájékoztató_t.'!A1),1)),"'",""))</f>
        <v>Z_4.tájékoztató_t.!$A$1</v>
      </c>
    </row>
    <row r="40" spans="1:3" ht="12.75">
      <c r="A40" s="721" t="s">
        <v>795</v>
      </c>
      <c r="B40" t="str">
        <f>'Z_5.tájékoztató_t.'!A3</f>
        <v>Az önkormányzat által adott közvetett támogatások</v>
      </c>
      <c r="C40" s="722" t="str">
        <f ca="1">HYPERLINK(SUBSTITUTE(CELL("address",'Z_5.tájékoztató_t.'!A1),"'",""),SUBSTITUTE(MID(CELL("address",'Z_5.tájékoztató_t.'!A1),SEARCH("]",CELL("address",'Z_5.tájékoztató_t.'!A1),1)+1,LEN(CELL("address",'Z_5.tájékoztató_t.'!A1))-SEARCH("]",CELL("address",'Z_5.tájékoztató_t.'!A1),1)),"'",""))</f>
        <v>Z_5.tájékoztató_t.!$A$1</v>
      </c>
    </row>
    <row r="41" spans="1:3" ht="12.75">
      <c r="A41" s="721" t="s">
        <v>799</v>
      </c>
      <c r="B41" t="str">
        <f>CONCATENATE(PROPER('Z_6.tájékoztató_t.'!A3)," ",LOWER('Z_6.tájékoztató_t.'!A4))</f>
        <v>K I M U T A T Á S a 2018. évi céljelleggel juttatott támogatások felhasználásáról</v>
      </c>
      <c r="C41" s="722" t="str">
        <f ca="1">HYPERLINK(SUBSTITUTE(CELL("address",'Z_6.tájékoztató_t.'!A1),"'",""),SUBSTITUTE(MID(CELL("address",'Z_6.tájékoztató_t.'!A1),SEARCH("]",CELL("address",'Z_6.tájékoztató_t.'!A1),1)+1,LEN(CELL("address",'Z_6.tájékoztató_t.'!A1))-SEARCH("]",CELL("address",'Z_6.tájékoztató_t.'!A1),1)),"'",""))</f>
        <v>Z_6.tájékoztató_t.!$A$1</v>
      </c>
    </row>
    <row r="42" spans="1:3" ht="12.75">
      <c r="A42" s="721" t="s">
        <v>801</v>
      </c>
      <c r="B42" t="str">
        <f>CONCATENATE(PROPER('Z_7.1.tájékoztató_t.'!A2)," ",'Z_7.1.tájékoztató_t.'!A3)</f>
        <v>Vagyonkimutatás a könyvviteli mérlegben értékkel szerplő eszközökről</v>
      </c>
      <c r="C42" s="722" t="str">
        <f ca="1">HYPERLINK(SUBSTITUTE(CELL("address",'Z_7.1.tájékoztató_t.'!A1),"'",""),SUBSTITUTE(MID(CELL("address",'Z_7.1.tájékoztató_t.'!A1),SEARCH("]",CELL("address",'Z_7.1.tájékoztató_t.'!A1),1)+1,LEN(CELL("address",'Z_7.1.tájékoztató_t.'!A1))-SEARCH("]",CELL("address",'Z_7.1.tájékoztató_t.'!A1),1)),"'",""))</f>
        <v>Z_7.1.tájékoztató_t.!$A$1</v>
      </c>
    </row>
    <row r="43" spans="1:3" ht="12.75">
      <c r="A43" s="721" t="s">
        <v>804</v>
      </c>
      <c r="B43" t="str">
        <f>CONCATENATE(PROPER('Z_7.2.tájékoztató_t.'!A3)," ",'Z_7.2.tájékoztató_t.'!A4)</f>
        <v>Vagyonkimutatás a könyvviteli mérlegben értékkel szereplő forrásokról</v>
      </c>
      <c r="C43" s="722" t="str">
        <f ca="1">HYPERLINK(SUBSTITUTE(CELL("address",'Z_7.2.tájékoztató_t.'!A1),"'",""),SUBSTITUTE(MID(CELL("address",'Z_7.2.tájékoztató_t.'!A1),SEARCH("]",CELL("address",'Z_7.2.tájékoztató_t.'!A1),1)+1,LEN(CELL("address",'Z_7.2.tájékoztató_t.'!A1))-SEARCH("]",CELL("address",'Z_7.2.tájékoztató_t.'!A1),1)),"'",""))</f>
        <v>Z_7.2.tájékoztató_t.!$A$1</v>
      </c>
    </row>
    <row r="44" spans="1:3" ht="12.75">
      <c r="A44" s="721" t="s">
        <v>805</v>
      </c>
      <c r="B44" t="str">
        <f>CONCATENATE(PROPER('Z_7.3.tájékoztató_t.'!A3)," ",'Z_7.3.tájékoztató_t.'!A4)</f>
        <v>Vagyonkimutatás az érték nélkül nyilvántartott eszkzözkről</v>
      </c>
      <c r="C44" s="722" t="str">
        <f ca="1">HYPERLINK(SUBSTITUTE(CELL("address",'Z_7.3.tájékoztató_t.'!A1),"'",""),SUBSTITUTE(MID(CELL("address",'Z_7.3.tájékoztató_t.'!A1),SEARCH("]",CELL("address",'Z_7.3.tájékoztató_t.'!A1),1)+1,LEN(CELL("address",'Z_7.3.tájékoztató_t.'!A1))-SEARCH("]",CELL("address",'Z_7.3.tájékoztató_t.'!A1),1)),"'",""))</f>
        <v>Z_7.3.tájékoztató_t.!$A$1</v>
      </c>
    </row>
    <row r="45" spans="1:3" ht="12.75">
      <c r="A45" s="721" t="s">
        <v>807</v>
      </c>
      <c r="B45" t="str">
        <f>CONCATENATE('Z_8.tájékoztató_t.'!A2,'Z_8.tájékoztató_t.'!A3)</f>
        <v>Kállósemjén Nagyközség Önkormányzata tulajdonában álló gazdálkodó szervezetek működéséből származókötelezettségek és részesedések alakulása 2018-ban</v>
      </c>
      <c r="C45" s="722" t="str">
        <f ca="1">HYPERLINK(SUBSTITUTE(CELL("address",'Z_8.tájékoztató_t.'!A1),"'",""),SUBSTITUTE(MID(CELL("address",'Z_8.tájékoztató_t.'!A1),SEARCH("]",CELL("address",'Z_8.tájékoztató_t.'!A1),1)+1,LEN(CELL("address",'Z_8.tájékoztató_t.'!A1))-SEARCH("]",CELL("address",'Z_8.tájékoztató_t.'!A1),1)),"'",""))</f>
        <v>Z_8.tájékoztató_t.!$A$1</v>
      </c>
    </row>
    <row r="46" spans="1:3" ht="12.75">
      <c r="A46" s="721" t="s">
        <v>808</v>
      </c>
      <c r="B46" t="s">
        <v>845</v>
      </c>
      <c r="C46" s="722" t="str">
        <f ca="1">HYPERLINK(SUBSTITUTE(CELL("address",'Z_9.tájékoztató_t.'!A1),"'",""),SUBSTITUTE(MID(CELL("address",'Z_9.tájékoztató_t.'!A1),SEARCH("]",CELL("address",'Z_9.tájékoztató_t.'!A1),1)+1,LEN(CELL("address",'Z_9.tájékoztató_t.'!A1))-SEARCH("]",CELL("address",'Z_9.tájékoztató_t.'!A1),1)),"'",""))</f>
        <v>Z_9.tájékoztató_t.!$A$1</v>
      </c>
    </row>
  </sheetData>
  <sheetProtection sheet="1"/>
  <mergeCells count="2">
    <mergeCell ref="A2:C2"/>
    <mergeCell ref="A6:C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="120" zoomScaleNormal="120" zoomScalePageLayoutView="0" workbookViewId="0" topLeftCell="A1">
      <selection activeCell="J25" sqref="J25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76" t="s">
        <v>527</v>
      </c>
      <c r="B1" s="79"/>
      <c r="C1" s="79"/>
      <c r="D1" s="79"/>
      <c r="E1" s="277" t="s">
        <v>105</v>
      </c>
    </row>
    <row r="2" spans="1:5" ht="12.75">
      <c r="A2" s="79"/>
      <c r="B2" s="79"/>
      <c r="C2" s="79"/>
      <c r="D2" s="79"/>
      <c r="E2" s="79"/>
    </row>
    <row r="3" spans="1:5" ht="12.75">
      <c r="A3" s="278"/>
      <c r="B3" s="279"/>
      <c r="C3" s="278"/>
      <c r="D3" s="280"/>
      <c r="E3" s="279"/>
    </row>
    <row r="4" spans="1:5" ht="15.75">
      <c r="A4" s="81" t="str">
        <f>+Z_ÖSSZEFÜGGÉSEK!A6</f>
        <v>2018. évi eredeti előirányzat BEVÉTELEK</v>
      </c>
      <c r="B4" s="281"/>
      <c r="C4" s="282"/>
      <c r="D4" s="280"/>
      <c r="E4" s="279"/>
    </row>
    <row r="5" spans="1:5" ht="12.75">
      <c r="A5" s="278"/>
      <c r="B5" s="279"/>
      <c r="C5" s="278"/>
      <c r="D5" s="280"/>
      <c r="E5" s="279"/>
    </row>
    <row r="6" spans="1:5" ht="12.75">
      <c r="A6" s="278" t="s">
        <v>467</v>
      </c>
      <c r="B6" s="279">
        <f>+'Z_1.1.sz.mell.'!C68</f>
        <v>536535346</v>
      </c>
      <c r="C6" s="278" t="s">
        <v>428</v>
      </c>
      <c r="D6" s="280">
        <f>+'Z_2.1.sz.mell'!C18+'Z_2.2.sz.mell'!C17</f>
        <v>536535346</v>
      </c>
      <c r="E6" s="279">
        <f>+B6-D6</f>
        <v>0</v>
      </c>
    </row>
    <row r="7" spans="1:5" ht="12.75">
      <c r="A7" s="278" t="s">
        <v>483</v>
      </c>
      <c r="B7" s="279">
        <f>+'Z_1.1.sz.mell.'!C92</f>
        <v>157271416</v>
      </c>
      <c r="C7" s="278" t="s">
        <v>434</v>
      </c>
      <c r="D7" s="280">
        <f>+'Z_2.1.sz.mell'!C29+'Z_2.2.sz.mell'!C30</f>
        <v>157271416</v>
      </c>
      <c r="E7" s="279">
        <f>+B7-D7</f>
        <v>0</v>
      </c>
    </row>
    <row r="8" spans="1:5" ht="12.75">
      <c r="A8" s="278" t="s">
        <v>484</v>
      </c>
      <c r="B8" s="279">
        <f>+'Z_1.1.sz.mell.'!C93</f>
        <v>693806762</v>
      </c>
      <c r="C8" s="278" t="s">
        <v>435</v>
      </c>
      <c r="D8" s="280">
        <f>+'Z_2.1.sz.mell'!C30+'Z_2.2.sz.mell'!C31</f>
        <v>693806762</v>
      </c>
      <c r="E8" s="279">
        <f>+B8-D8</f>
        <v>0</v>
      </c>
    </row>
    <row r="9" spans="1:5" ht="12.75">
      <c r="A9" s="278"/>
      <c r="B9" s="279"/>
      <c r="C9" s="278"/>
      <c r="D9" s="280"/>
      <c r="E9" s="279"/>
    </row>
    <row r="10" spans="1:5" ht="15.75">
      <c r="A10" s="81" t="str">
        <f>+Z_ÖSSZEFÜGGÉSEK!A13</f>
        <v>2018. évi módosított előirányzat BEVÉTELEK</v>
      </c>
      <c r="B10" s="281"/>
      <c r="C10" s="282"/>
      <c r="D10" s="280"/>
      <c r="E10" s="279"/>
    </row>
    <row r="11" spans="1:5" ht="12.75">
      <c r="A11" s="278"/>
      <c r="B11" s="279"/>
      <c r="C11" s="278"/>
      <c r="D11" s="280"/>
      <c r="E11" s="279"/>
    </row>
    <row r="12" spans="1:5" ht="12.75">
      <c r="A12" s="278" t="s">
        <v>468</v>
      </c>
      <c r="B12" s="279">
        <f>+'Z_1.1.sz.mell.'!D68</f>
        <v>618111990</v>
      </c>
      <c r="C12" s="278" t="s">
        <v>429</v>
      </c>
      <c r="D12" s="280">
        <f>+'Z_2.1.sz.mell'!D18+'Z_2.2.sz.mell'!D17</f>
        <v>618111990</v>
      </c>
      <c r="E12" s="279">
        <f>+B12-D12</f>
        <v>0</v>
      </c>
    </row>
    <row r="13" spans="1:5" ht="12.75">
      <c r="A13" s="278" t="s">
        <v>469</v>
      </c>
      <c r="B13" s="279">
        <f>+'Z_1.1.sz.mell.'!D92</f>
        <v>427862080</v>
      </c>
      <c r="C13" s="278" t="s">
        <v>436</v>
      </c>
      <c r="D13" s="280">
        <f>+'Z_2.1.sz.mell'!D29+'Z_2.2.sz.mell'!D30</f>
        <v>427862080</v>
      </c>
      <c r="E13" s="279">
        <f>+B13-D13</f>
        <v>0</v>
      </c>
    </row>
    <row r="14" spans="1:5" ht="12.75">
      <c r="A14" s="278" t="s">
        <v>470</v>
      </c>
      <c r="B14" s="279">
        <f>+'Z_1.1.sz.mell.'!D93</f>
        <v>1045974070</v>
      </c>
      <c r="C14" s="278" t="s">
        <v>437</v>
      </c>
      <c r="D14" s="280">
        <f>+'Z_2.1.sz.mell'!D30+'Z_2.2.sz.mell'!D31</f>
        <v>1045974070</v>
      </c>
      <c r="E14" s="279">
        <f>+B14-D14</f>
        <v>0</v>
      </c>
    </row>
    <row r="15" spans="1:5" ht="12.75">
      <c r="A15" s="278"/>
      <c r="B15" s="279"/>
      <c r="C15" s="278"/>
      <c r="D15" s="280"/>
      <c r="E15" s="279"/>
    </row>
    <row r="16" spans="1:5" ht="14.25">
      <c r="A16" s="283" t="str">
        <f>+Z_ÖSSZEFÜGGÉSEK!A19</f>
        <v>2018.évi teljesített BEVÉTELEK</v>
      </c>
      <c r="B16" s="80"/>
      <c r="C16" s="282"/>
      <c r="D16" s="280"/>
      <c r="E16" s="279"/>
    </row>
    <row r="17" spans="1:5" ht="12.75">
      <c r="A17" s="278"/>
      <c r="B17" s="279"/>
      <c r="C17" s="278"/>
      <c r="D17" s="280"/>
      <c r="E17" s="279"/>
    </row>
    <row r="18" spans="1:5" ht="12.75">
      <c r="A18" s="278" t="s">
        <v>471</v>
      </c>
      <c r="B18" s="279">
        <f>+'Z_1.1.sz.mell.'!E68</f>
        <v>670082864</v>
      </c>
      <c r="C18" s="278" t="s">
        <v>430</v>
      </c>
      <c r="D18" s="280">
        <f>+'Z_2.1.sz.mell'!E18+'Z_2.2.sz.mell'!E17</f>
        <v>670082864</v>
      </c>
      <c r="E18" s="279">
        <f>+B18-D18</f>
        <v>0</v>
      </c>
    </row>
    <row r="19" spans="1:5" ht="12.75">
      <c r="A19" s="278" t="s">
        <v>472</v>
      </c>
      <c r="B19" s="279">
        <f>+'Z_1.1.sz.mell.'!E92</f>
        <v>968084103</v>
      </c>
      <c r="C19" s="278" t="s">
        <v>438</v>
      </c>
      <c r="D19" s="280">
        <f>+'Z_2.1.sz.mell'!E29+'Z_2.2.sz.mell'!E30</f>
        <v>968084103</v>
      </c>
      <c r="E19" s="279">
        <f>+B19-D19</f>
        <v>0</v>
      </c>
    </row>
    <row r="20" spans="1:5" ht="12.75">
      <c r="A20" s="278" t="s">
        <v>473</v>
      </c>
      <c r="B20" s="279">
        <f>+'Z_1.1.sz.mell.'!E93</f>
        <v>1638166967</v>
      </c>
      <c r="C20" s="278" t="s">
        <v>439</v>
      </c>
      <c r="D20" s="280">
        <f>+'Z_2.1.sz.mell'!E30+'Z_2.2.sz.mell'!E31</f>
        <v>1638166967</v>
      </c>
      <c r="E20" s="279">
        <f>+B20-D20</f>
        <v>0</v>
      </c>
    </row>
    <row r="21" spans="1:5" ht="12.75">
      <c r="A21" s="278"/>
      <c r="B21" s="279"/>
      <c r="C21" s="278"/>
      <c r="D21" s="280"/>
      <c r="E21" s="279"/>
    </row>
    <row r="22" spans="1:5" ht="15.75">
      <c r="A22" s="81" t="str">
        <f>+Z_ÖSSZEFÜGGÉSEK!A25</f>
        <v>2018. évi eredeti előirányzat KIADÁSOK</v>
      </c>
      <c r="B22" s="281"/>
      <c r="C22" s="282"/>
      <c r="D22" s="280"/>
      <c r="E22" s="279"/>
    </row>
    <row r="23" spans="1:5" ht="12.75">
      <c r="A23" s="278"/>
      <c r="B23" s="279"/>
      <c r="C23" s="278"/>
      <c r="D23" s="280"/>
      <c r="E23" s="279"/>
    </row>
    <row r="24" spans="1:5" ht="12.75">
      <c r="A24" s="278" t="s">
        <v>485</v>
      </c>
      <c r="B24" s="279">
        <f>+'Z_1.1.sz.mell.'!C135</f>
        <v>536535346</v>
      </c>
      <c r="C24" s="278" t="s">
        <v>431</v>
      </c>
      <c r="D24" s="280">
        <f>+'Z_2.1.sz.mell'!G18+'Z_2.2.sz.mell'!G17</f>
        <v>536535346</v>
      </c>
      <c r="E24" s="279">
        <f>+B24-D24</f>
        <v>0</v>
      </c>
    </row>
    <row r="25" spans="1:5" ht="12.75">
      <c r="A25" s="278" t="s">
        <v>475</v>
      </c>
      <c r="B25" s="279">
        <f>+'Z_1.1.sz.mell.'!C160</f>
        <v>157271416</v>
      </c>
      <c r="C25" s="278" t="s">
        <v>440</v>
      </c>
      <c r="D25" s="280">
        <f>+'Z_2.1.sz.mell'!G29+'Z_2.2.sz.mell'!G30</f>
        <v>157271416</v>
      </c>
      <c r="E25" s="279">
        <f>+B25-D25</f>
        <v>0</v>
      </c>
    </row>
    <row r="26" spans="1:5" ht="12.75">
      <c r="A26" s="278" t="s">
        <v>476</v>
      </c>
      <c r="B26" s="279">
        <f>+'Z_1.1.sz.mell.'!C161</f>
        <v>693806762</v>
      </c>
      <c r="C26" s="278" t="s">
        <v>441</v>
      </c>
      <c r="D26" s="280">
        <f>+'Z_2.1.sz.mell'!G30+'Z_2.2.sz.mell'!G31</f>
        <v>693806762</v>
      </c>
      <c r="E26" s="279">
        <f>+B26-D26</f>
        <v>0</v>
      </c>
    </row>
    <row r="27" spans="1:5" ht="12.75">
      <c r="A27" s="278"/>
      <c r="B27" s="279"/>
      <c r="C27" s="278"/>
      <c r="D27" s="280"/>
      <c r="E27" s="279"/>
    </row>
    <row r="28" spans="1:5" ht="15.75">
      <c r="A28" s="81" t="str">
        <f>+Z_ÖSSZEFÜGGÉSEK!A31</f>
        <v>2018. évi módosított előirányzat KIADÁSOK</v>
      </c>
      <c r="B28" s="281"/>
      <c r="C28" s="282"/>
      <c r="D28" s="280"/>
      <c r="E28" s="279"/>
    </row>
    <row r="29" spans="1:5" ht="12.75">
      <c r="A29" s="278"/>
      <c r="B29" s="279"/>
      <c r="C29" s="278"/>
      <c r="D29" s="280"/>
      <c r="E29" s="279"/>
    </row>
    <row r="30" spans="1:5" ht="12.75">
      <c r="A30" s="278" t="s">
        <v>477</v>
      </c>
      <c r="B30" s="279">
        <f>+'Z_1.1.sz.mell.'!D135</f>
        <v>842358819</v>
      </c>
      <c r="C30" s="278" t="s">
        <v>432</v>
      </c>
      <c r="D30" s="280">
        <f>+'Z_2.1.sz.mell'!H18+'Z_2.2.sz.mell'!H17</f>
        <v>842358819</v>
      </c>
      <c r="E30" s="279">
        <f>+B30-D30</f>
        <v>0</v>
      </c>
    </row>
    <row r="31" spans="1:5" ht="12.75">
      <c r="A31" s="278" t="s">
        <v>478</v>
      </c>
      <c r="B31" s="279">
        <f>+'Z_1.1.sz.mell.'!D160</f>
        <v>203615251</v>
      </c>
      <c r="C31" s="278" t="s">
        <v>442</v>
      </c>
      <c r="D31" s="280">
        <f>+'Z_2.1.sz.mell'!H29+'Z_2.2.sz.mell'!H30</f>
        <v>203615251</v>
      </c>
      <c r="E31" s="279">
        <f>+B31-D31</f>
        <v>0</v>
      </c>
    </row>
    <row r="32" spans="1:5" ht="12.75">
      <c r="A32" s="278" t="s">
        <v>479</v>
      </c>
      <c r="B32" s="279">
        <f>+'Z_1.1.sz.mell.'!D161</f>
        <v>1045974070</v>
      </c>
      <c r="C32" s="278" t="s">
        <v>443</v>
      </c>
      <c r="D32" s="280">
        <f>+'Z_2.1.sz.mell'!H30+'Z_2.2.sz.mell'!H31</f>
        <v>1045974070</v>
      </c>
      <c r="E32" s="279">
        <f>+B32-D32</f>
        <v>0</v>
      </c>
    </row>
    <row r="33" spans="1:5" ht="12.75">
      <c r="A33" s="278"/>
      <c r="B33" s="279"/>
      <c r="C33" s="278"/>
      <c r="D33" s="280"/>
      <c r="E33" s="279"/>
    </row>
    <row r="34" spans="1:5" ht="15.75">
      <c r="A34" s="284" t="str">
        <f>+Z_ÖSSZEFÜGGÉSEK!A37</f>
        <v>2018.évi teljesített KIADÁSOK</v>
      </c>
      <c r="B34" s="281"/>
      <c r="C34" s="282"/>
      <c r="D34" s="280"/>
      <c r="E34" s="279"/>
    </row>
    <row r="35" spans="1:5" ht="12.75">
      <c r="A35" s="278"/>
      <c r="B35" s="279"/>
      <c r="C35" s="278"/>
      <c r="D35" s="280"/>
      <c r="E35" s="279"/>
    </row>
    <row r="36" spans="1:5" ht="12.75">
      <c r="A36" s="278" t="s">
        <v>480</v>
      </c>
      <c r="B36" s="279">
        <f>+'Z_1.1.sz.mell.'!E135</f>
        <v>750869045</v>
      </c>
      <c r="C36" s="278" t="s">
        <v>433</v>
      </c>
      <c r="D36" s="280">
        <f>+'Z_2.1.sz.mell'!I18+'Z_2.2.sz.mell'!I17</f>
        <v>750869045</v>
      </c>
      <c r="E36" s="279">
        <f>+B36-D36</f>
        <v>0</v>
      </c>
    </row>
    <row r="37" spans="1:5" ht="12.75">
      <c r="A37" s="278" t="s">
        <v>481</v>
      </c>
      <c r="B37" s="279">
        <f>+'Z_1.1.sz.mell.'!E160</f>
        <v>501027997</v>
      </c>
      <c r="C37" s="278" t="s">
        <v>444</v>
      </c>
      <c r="D37" s="280">
        <f>+'Z_2.1.sz.mell'!I29+'Z_2.2.sz.mell'!I30</f>
        <v>501027997</v>
      </c>
      <c r="E37" s="279">
        <f>+B37-D37</f>
        <v>0</v>
      </c>
    </row>
    <row r="38" spans="1:5" ht="12.75">
      <c r="A38" s="278" t="s">
        <v>486</v>
      </c>
      <c r="B38" s="279">
        <f>+'Z_1.1.sz.mell.'!E161</f>
        <v>1251897042</v>
      </c>
      <c r="C38" s="278" t="s">
        <v>445</v>
      </c>
      <c r="D38" s="280">
        <f>+'Z_2.1.sz.mell'!I30+'Z_2.2.sz.mell'!I31</f>
        <v>1251897042</v>
      </c>
      <c r="E38" s="279">
        <f>+B38-D38</f>
        <v>0</v>
      </c>
    </row>
  </sheetData>
  <sheetProtection sheet="1"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4"/>
  <sheetViews>
    <sheetView zoomScale="120" zoomScaleNormal="120" workbookViewId="0" topLeftCell="A1">
      <selection activeCell="N21" sqref="N21"/>
    </sheetView>
  </sheetViews>
  <sheetFormatPr defaultColWidth="9.00390625" defaultRowHeight="12.75"/>
  <cols>
    <col min="1" max="1" width="48.6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875" style="33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15">
      <c r="A1" s="403"/>
      <c r="B1" s="819" t="str">
        <f>CONCATENATE("3. melléklet ",Z_ALAPADATOK!A7," ",Z_ALAPADATOK!B7," ",Z_ALAPADATOK!C7," ",Z_ALAPADATOK!D7," ",Z_ALAPADATOK!E7," ",Z_ALAPADATOK!F7," ",Z_ALAPADATOK!G7," ",Z_ALAPADATOK!H7)</f>
        <v>3. melléklet a 2 / 2019. ( IV.26. ) önkormányzati rendelethez</v>
      </c>
      <c r="C1" s="820"/>
      <c r="D1" s="820"/>
      <c r="E1" s="820"/>
      <c r="F1" s="820"/>
      <c r="G1" s="820"/>
    </row>
    <row r="2" spans="1:7" ht="12.75">
      <c r="A2" s="403"/>
      <c r="B2" s="404"/>
      <c r="C2" s="404"/>
      <c r="D2" s="404"/>
      <c r="E2" s="404"/>
      <c r="F2" s="404"/>
      <c r="G2" s="404"/>
    </row>
    <row r="3" spans="1:7" ht="25.5" customHeight="1">
      <c r="A3" s="818" t="s">
        <v>528</v>
      </c>
      <c r="B3" s="818"/>
      <c r="C3" s="818"/>
      <c r="D3" s="818"/>
      <c r="E3" s="818"/>
      <c r="F3" s="818"/>
      <c r="G3" s="818"/>
    </row>
    <row r="4" spans="1:7" ht="22.5" customHeight="1" thickBot="1">
      <c r="A4" s="403"/>
      <c r="B4" s="404"/>
      <c r="C4" s="404"/>
      <c r="D4" s="404"/>
      <c r="E4" s="404"/>
      <c r="F4" s="404"/>
      <c r="G4" s="405" t="str">
        <f>'Z_2.2.sz.mell'!I2</f>
        <v> Forintban!</v>
      </c>
    </row>
    <row r="5" spans="1:7" s="29" customFormat="1" ht="44.25" customHeight="1" thickBot="1">
      <c r="A5" s="406" t="s">
        <v>48</v>
      </c>
      <c r="B5" s="372" t="s">
        <v>49</v>
      </c>
      <c r="C5" s="372" t="s">
        <v>50</v>
      </c>
      <c r="D5" s="372" t="str">
        <f>+CONCATENATE("Felhasználás   ",LEFT(Z_ÖSSZEFÜGGÉSEK!A6,4)-1,". XII. 31-ig")</f>
        <v>Felhasználás   2017. XII. 31-ig</v>
      </c>
      <c r="E5" s="372" t="str">
        <f>+CONCATENATE(LEFT(Z_ÖSSZEFÜGGÉSEK!A6,4),". évi",CHAR(10),"módosított előirányzat")</f>
        <v>2018. évi
módosított előirányzat</v>
      </c>
      <c r="F5" s="372" t="str">
        <f>+CONCATENATE("Teljesítés",CHAR(10),LEFT(Z_ÖSSZEFÜGGÉSEK!A6,4),". XII. 31-ig")</f>
        <v>Teljesítés
2018. XII. 31-ig</v>
      </c>
      <c r="G5" s="373" t="str">
        <f>+CONCATENATE("Összes teljesítés",CHAR(10),LEFT(Z_ÖSSZEFÜGGÉSEK!A6,4),". XII. 31-ig")</f>
        <v>Összes teljesítés
2018. XII. 31-ig</v>
      </c>
    </row>
    <row r="6" spans="1:7" s="33" customFormat="1" ht="12" customHeight="1" thickBot="1">
      <c r="A6" s="407" t="s">
        <v>388</v>
      </c>
      <c r="B6" s="408" t="s">
        <v>389</v>
      </c>
      <c r="C6" s="408" t="s">
        <v>390</v>
      </c>
      <c r="D6" s="408" t="s">
        <v>392</v>
      </c>
      <c r="E6" s="408" t="s">
        <v>391</v>
      </c>
      <c r="F6" s="408" t="s">
        <v>393</v>
      </c>
      <c r="G6" s="409" t="s">
        <v>446</v>
      </c>
    </row>
    <row r="7" spans="1:7" ht="33" customHeight="1">
      <c r="A7" s="224" t="s">
        <v>926</v>
      </c>
      <c r="B7" s="21">
        <v>303353794</v>
      </c>
      <c r="C7" s="225" t="s">
        <v>927</v>
      </c>
      <c r="D7" s="21"/>
      <c r="E7" s="21">
        <v>31266750</v>
      </c>
      <c r="F7" s="21">
        <v>31266750</v>
      </c>
      <c r="G7" s="34">
        <f aca="true" t="shared" si="0" ref="G7:G24">D7+F7</f>
        <v>31266750</v>
      </c>
    </row>
    <row r="8" spans="1:7" ht="15.75" customHeight="1">
      <c r="A8" s="224" t="s">
        <v>928</v>
      </c>
      <c r="B8" s="21">
        <v>940000</v>
      </c>
      <c r="C8" s="225" t="s">
        <v>925</v>
      </c>
      <c r="D8" s="21"/>
      <c r="E8" s="21">
        <v>940000</v>
      </c>
      <c r="F8" s="21">
        <v>940000</v>
      </c>
      <c r="G8" s="34">
        <f t="shared" si="0"/>
        <v>940000</v>
      </c>
    </row>
    <row r="9" spans="1:7" ht="25.5" customHeight="1">
      <c r="A9" s="779" t="s">
        <v>932</v>
      </c>
      <c r="B9" s="21">
        <v>497205</v>
      </c>
      <c r="C9" s="225" t="s">
        <v>925</v>
      </c>
      <c r="D9" s="21"/>
      <c r="E9" s="21">
        <v>497205</v>
      </c>
      <c r="F9" s="21">
        <v>497205</v>
      </c>
      <c r="G9" s="34">
        <f t="shared" si="0"/>
        <v>497205</v>
      </c>
    </row>
    <row r="10" spans="1:7" ht="15.75" customHeight="1">
      <c r="A10" s="224" t="s">
        <v>933</v>
      </c>
      <c r="B10" s="21">
        <v>56500</v>
      </c>
      <c r="C10" s="225" t="s">
        <v>925</v>
      </c>
      <c r="D10" s="21"/>
      <c r="E10" s="21">
        <v>56500</v>
      </c>
      <c r="F10" s="21">
        <v>56500</v>
      </c>
      <c r="G10" s="34">
        <f t="shared" si="0"/>
        <v>56500</v>
      </c>
    </row>
    <row r="11" spans="1:7" s="784" customFormat="1" ht="30.75" customHeight="1">
      <c r="A11" s="779" t="s">
        <v>934</v>
      </c>
      <c r="B11" s="781">
        <v>1310761</v>
      </c>
      <c r="C11" s="782" t="s">
        <v>925</v>
      </c>
      <c r="D11" s="781"/>
      <c r="E11" s="781">
        <v>1310761</v>
      </c>
      <c r="F11" s="781">
        <v>1310761</v>
      </c>
      <c r="G11" s="783">
        <f t="shared" si="0"/>
        <v>1310761</v>
      </c>
    </row>
    <row r="12" spans="1:7" s="784" customFormat="1" ht="42.75" customHeight="1">
      <c r="A12" s="785" t="s">
        <v>937</v>
      </c>
      <c r="B12" s="781">
        <v>1771173</v>
      </c>
      <c r="C12" s="782" t="s">
        <v>925</v>
      </c>
      <c r="D12" s="781"/>
      <c r="E12" s="781">
        <v>1771173</v>
      </c>
      <c r="F12" s="781">
        <v>1771173</v>
      </c>
      <c r="G12" s="783">
        <f t="shared" si="0"/>
        <v>1771173</v>
      </c>
    </row>
    <row r="13" spans="1:7" s="784" customFormat="1" ht="25.5" customHeight="1">
      <c r="A13" s="785" t="s">
        <v>935</v>
      </c>
      <c r="B13" s="781">
        <v>2018350</v>
      </c>
      <c r="C13" s="782" t="s">
        <v>925</v>
      </c>
      <c r="D13" s="781"/>
      <c r="E13" s="781">
        <v>2018350</v>
      </c>
      <c r="F13" s="781">
        <v>2018350</v>
      </c>
      <c r="G13" s="783">
        <f t="shared" si="0"/>
        <v>2018350</v>
      </c>
    </row>
    <row r="14" spans="1:7" s="784" customFormat="1" ht="15.75" customHeight="1">
      <c r="A14" s="785" t="s">
        <v>936</v>
      </c>
      <c r="B14" s="781">
        <v>25100</v>
      </c>
      <c r="C14" s="782" t="s">
        <v>925</v>
      </c>
      <c r="D14" s="781"/>
      <c r="E14" s="781">
        <v>25100</v>
      </c>
      <c r="F14" s="781">
        <v>25100</v>
      </c>
      <c r="G14" s="783">
        <f t="shared" si="0"/>
        <v>25100</v>
      </c>
    </row>
    <row r="15" spans="1:7" s="784" customFormat="1" ht="36.75" customHeight="1">
      <c r="A15" s="785" t="s">
        <v>940</v>
      </c>
      <c r="B15" s="781">
        <v>1063760</v>
      </c>
      <c r="C15" s="782" t="s">
        <v>925</v>
      </c>
      <c r="D15" s="781"/>
      <c r="E15" s="781">
        <v>1063760</v>
      </c>
      <c r="F15" s="781">
        <v>1063760</v>
      </c>
      <c r="G15" s="783">
        <f t="shared" si="0"/>
        <v>1063760</v>
      </c>
    </row>
    <row r="16" spans="1:7" s="784" customFormat="1" ht="36" customHeight="1">
      <c r="A16" s="785" t="s">
        <v>943</v>
      </c>
      <c r="B16" s="781">
        <v>2035479</v>
      </c>
      <c r="C16" s="782" t="s">
        <v>925</v>
      </c>
      <c r="D16" s="781"/>
      <c r="E16" s="781">
        <v>2035479</v>
      </c>
      <c r="F16" s="781">
        <v>2035479</v>
      </c>
      <c r="G16" s="783">
        <f t="shared" si="0"/>
        <v>2035479</v>
      </c>
    </row>
    <row r="17" spans="1:7" s="784" customFormat="1" ht="34.5" customHeight="1">
      <c r="A17" s="785" t="s">
        <v>938</v>
      </c>
      <c r="B17" s="781">
        <v>11970272</v>
      </c>
      <c r="C17" s="782" t="s">
        <v>925</v>
      </c>
      <c r="D17" s="781"/>
      <c r="E17" s="781">
        <v>11970272</v>
      </c>
      <c r="F17" s="781">
        <v>11970272</v>
      </c>
      <c r="G17" s="783">
        <f t="shared" si="0"/>
        <v>11970272</v>
      </c>
    </row>
    <row r="18" spans="1:7" s="784" customFormat="1" ht="29.25" customHeight="1">
      <c r="A18" s="785" t="s">
        <v>939</v>
      </c>
      <c r="B18" s="781">
        <v>88800</v>
      </c>
      <c r="C18" s="782" t="s">
        <v>925</v>
      </c>
      <c r="D18" s="781"/>
      <c r="E18" s="781">
        <v>88800</v>
      </c>
      <c r="F18" s="781">
        <v>88800</v>
      </c>
      <c r="G18" s="783">
        <f t="shared" si="0"/>
        <v>88800</v>
      </c>
    </row>
    <row r="19" spans="1:7" s="784" customFormat="1" ht="36.75" customHeight="1">
      <c r="A19" s="785" t="s">
        <v>941</v>
      </c>
      <c r="B19" s="781">
        <v>793044</v>
      </c>
      <c r="C19" s="782" t="s">
        <v>925</v>
      </c>
      <c r="D19" s="781"/>
      <c r="E19" s="781">
        <v>793044</v>
      </c>
      <c r="F19" s="781">
        <v>793044</v>
      </c>
      <c r="G19" s="783">
        <f t="shared" si="0"/>
        <v>793044</v>
      </c>
    </row>
    <row r="20" spans="1:7" s="784" customFormat="1" ht="15.75" customHeight="1">
      <c r="A20" s="785" t="s">
        <v>942</v>
      </c>
      <c r="B20" s="781">
        <v>253870</v>
      </c>
      <c r="C20" s="782" t="s">
        <v>925</v>
      </c>
      <c r="D20" s="781"/>
      <c r="E20" s="781">
        <v>253870</v>
      </c>
      <c r="F20" s="781">
        <v>253870</v>
      </c>
      <c r="G20" s="783">
        <f t="shared" si="0"/>
        <v>253870</v>
      </c>
    </row>
    <row r="21" spans="1:7" ht="15.75" customHeight="1">
      <c r="A21" s="224"/>
      <c r="B21" s="21"/>
      <c r="C21" s="225"/>
      <c r="D21" s="21"/>
      <c r="E21" s="21"/>
      <c r="F21" s="21"/>
      <c r="G21" s="34">
        <f t="shared" si="0"/>
        <v>0</v>
      </c>
    </row>
    <row r="22" spans="1:7" ht="15.75" customHeight="1">
      <c r="A22" s="224"/>
      <c r="B22" s="21"/>
      <c r="C22" s="225"/>
      <c r="D22" s="21"/>
      <c r="E22" s="21"/>
      <c r="F22" s="21"/>
      <c r="G22" s="34">
        <f t="shared" si="0"/>
        <v>0</v>
      </c>
    </row>
    <row r="23" spans="1:7" ht="15.75" customHeight="1" thickBot="1">
      <c r="A23" s="35"/>
      <c r="B23" s="22"/>
      <c r="C23" s="226"/>
      <c r="D23" s="22"/>
      <c r="E23" s="22"/>
      <c r="F23" s="22"/>
      <c r="G23" s="34">
        <f t="shared" si="0"/>
        <v>0</v>
      </c>
    </row>
    <row r="24" spans="1:7" s="38" customFormat="1" ht="18" customHeight="1" thickBot="1">
      <c r="A24" s="72" t="s">
        <v>47</v>
      </c>
      <c r="B24" s="36">
        <f>SUM(B7:B23)</f>
        <v>326178108</v>
      </c>
      <c r="C24" s="53"/>
      <c r="D24" s="36">
        <f>SUM(D7:D23)</f>
        <v>0</v>
      </c>
      <c r="E24" s="36"/>
      <c r="F24" s="36">
        <f>SUM(F7:F23)</f>
        <v>54091064</v>
      </c>
      <c r="G24" s="34">
        <f t="shared" si="0"/>
        <v>54091064</v>
      </c>
    </row>
  </sheetData>
  <sheetProtection/>
  <mergeCells count="2">
    <mergeCell ref="A3:G3"/>
    <mergeCell ref="B1:G1"/>
  </mergeCells>
  <printOptions horizontalCentered="1"/>
  <pageMargins left="0.61" right="0.52" top="1.02" bottom="0.984251968503937" header="0.7874015748031497" footer="0.7874015748031497"/>
  <pageSetup horizontalDpi="300" verticalDpi="300" orientation="landscape" paperSize="9" scale="96" r:id="rId1"/>
  <headerFooter alignWithMargins="0">
    <oddHeader xml:space="preserve">&amp;R&amp;"Times New Roman CE,Félkövér dőlt"&amp;11 3. melléklet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zoomScale="120" zoomScaleNormal="120" workbookViewId="0" topLeftCell="A1">
      <selection activeCell="M20" sqref="M20"/>
    </sheetView>
  </sheetViews>
  <sheetFormatPr defaultColWidth="9.00390625" defaultRowHeight="12.75"/>
  <cols>
    <col min="1" max="1" width="54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875" style="27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15">
      <c r="A1" s="403"/>
      <c r="B1" s="819" t="str">
        <f>CONCATENATE("4. melléklet ",Z_ALAPADATOK!A7," ",Z_ALAPADATOK!B7," ",Z_ALAPADATOK!C7," ",Z_ALAPADATOK!D7," ",Z_ALAPADATOK!E7," ",Z_ALAPADATOK!F7," ",Z_ALAPADATOK!G7," ",Z_ALAPADATOK!H7)</f>
        <v>4. melléklet a 2 / 2019. ( IV.26. ) önkormányzati rendelethez</v>
      </c>
      <c r="C1" s="819"/>
      <c r="D1" s="819"/>
      <c r="E1" s="819"/>
      <c r="F1" s="819"/>
      <c r="G1" s="819"/>
    </row>
    <row r="2" spans="1:7" ht="12.75">
      <c r="A2" s="403"/>
      <c r="B2" s="404"/>
      <c r="C2" s="404"/>
      <c r="D2" s="404"/>
      <c r="E2" s="404"/>
      <c r="F2" s="404"/>
      <c r="G2" s="404"/>
    </row>
    <row r="3" spans="1:7" ht="24.75" customHeight="1">
      <c r="A3" s="818" t="s">
        <v>529</v>
      </c>
      <c r="B3" s="818"/>
      <c r="C3" s="818"/>
      <c r="D3" s="818"/>
      <c r="E3" s="818"/>
      <c r="F3" s="818"/>
      <c r="G3" s="818"/>
    </row>
    <row r="4" spans="1:7" ht="23.25" customHeight="1" thickBot="1">
      <c r="A4" s="403"/>
      <c r="B4" s="404"/>
      <c r="C4" s="404"/>
      <c r="D4" s="404"/>
      <c r="E4" s="404"/>
      <c r="F4" s="404"/>
      <c r="G4" s="405" t="str">
        <f>'Z_3.sz.mell.'!G4</f>
        <v> Forintban!</v>
      </c>
    </row>
    <row r="5" spans="1:7" s="29" customFormat="1" ht="48.75" customHeight="1" thickBot="1">
      <c r="A5" s="406" t="s">
        <v>51</v>
      </c>
      <c r="B5" s="372" t="s">
        <v>49</v>
      </c>
      <c r="C5" s="372" t="s">
        <v>50</v>
      </c>
      <c r="D5" s="372" t="str">
        <f>+'Z_3.sz.mell.'!D5</f>
        <v>Felhasználás   2017. XII. 31-ig</v>
      </c>
      <c r="E5" s="372" t="str">
        <f>+CONCATENATE(LEFT(Z_ÖSSZEFÜGGÉSEK!A6,4),". évi",CHAR(10),"módosított előirányzat")</f>
        <v>2018. évi
módosított előirányzat</v>
      </c>
      <c r="F5" s="372" t="str">
        <f>+CONCATENATE("Teljesítés",CHAR(10),LEFT(Z_ÖSSZEFÜGGÉSEK!A6,4),". XII. 31-ig")</f>
        <v>Teljesítés
2018. XII. 31-ig</v>
      </c>
      <c r="G5" s="373" t="str">
        <f>+CONCATENATE("Összes teljesítés",CHAR(10),LEFT(Z_ÖSSZEFÜGGÉSEK!A6,4),". XII. 31-ig")</f>
        <v>Összes teljesítés
2018. XII. 31-ig</v>
      </c>
    </row>
    <row r="6" spans="1:7" s="33" customFormat="1" ht="15" customHeight="1" thickBot="1">
      <c r="A6" s="407" t="s">
        <v>388</v>
      </c>
      <c r="B6" s="408" t="s">
        <v>389</v>
      </c>
      <c r="C6" s="408" t="s">
        <v>390</v>
      </c>
      <c r="D6" s="408" t="s">
        <v>392</v>
      </c>
      <c r="E6" s="408" t="s">
        <v>391</v>
      </c>
      <c r="F6" s="408" t="s">
        <v>393</v>
      </c>
      <c r="G6" s="409" t="s">
        <v>446</v>
      </c>
    </row>
    <row r="7" spans="1:7" ht="32.25" customHeight="1">
      <c r="A7" s="779" t="s">
        <v>929</v>
      </c>
      <c r="B7" s="21">
        <v>146428648</v>
      </c>
      <c r="C7" s="225" t="s">
        <v>925</v>
      </c>
      <c r="D7" s="21"/>
      <c r="E7" s="21">
        <v>109270800</v>
      </c>
      <c r="F7" s="21">
        <v>109270800</v>
      </c>
      <c r="G7" s="34">
        <f>D7+F7</f>
        <v>109270800</v>
      </c>
    </row>
    <row r="8" spans="1:7" ht="15.75" customHeight="1">
      <c r="A8" s="780" t="s">
        <v>930</v>
      </c>
      <c r="B8" s="21">
        <v>11579924</v>
      </c>
      <c r="C8" s="227" t="s">
        <v>925</v>
      </c>
      <c r="D8" s="40"/>
      <c r="E8" s="21">
        <v>11579924</v>
      </c>
      <c r="F8" s="21">
        <v>11579924</v>
      </c>
      <c r="G8" s="34">
        <f aca="true" t="shared" si="0" ref="G8:G25">D8+F8</f>
        <v>11579924</v>
      </c>
    </row>
    <row r="9" spans="1:7" s="784" customFormat="1" ht="15.75" customHeight="1">
      <c r="A9" s="780" t="s">
        <v>931</v>
      </c>
      <c r="B9" s="781">
        <v>1358900</v>
      </c>
      <c r="C9" s="782" t="s">
        <v>925</v>
      </c>
      <c r="D9" s="781"/>
      <c r="E9" s="781">
        <v>1358900</v>
      </c>
      <c r="F9" s="781">
        <v>1358900</v>
      </c>
      <c r="G9" s="783">
        <f t="shared" si="0"/>
        <v>1358900</v>
      </c>
    </row>
    <row r="10" spans="1:7" s="784" customFormat="1" ht="15.75" customHeight="1">
      <c r="A10" s="780"/>
      <c r="B10" s="781"/>
      <c r="C10" s="782"/>
      <c r="D10" s="781"/>
      <c r="E10" s="781"/>
      <c r="F10" s="781"/>
      <c r="G10" s="783">
        <f t="shared" si="0"/>
        <v>0</v>
      </c>
    </row>
    <row r="11" spans="1:7" ht="15.75" customHeight="1">
      <c r="A11" s="39"/>
      <c r="B11" s="40"/>
      <c r="C11" s="227"/>
      <c r="D11" s="40"/>
      <c r="E11" s="40"/>
      <c r="F11" s="40"/>
      <c r="G11" s="34">
        <f t="shared" si="0"/>
        <v>0</v>
      </c>
    </row>
    <row r="12" spans="1:7" ht="15.75" customHeight="1">
      <c r="A12" s="39"/>
      <c r="B12" s="40"/>
      <c r="C12" s="227"/>
      <c r="D12" s="40"/>
      <c r="E12" s="40"/>
      <c r="F12" s="40"/>
      <c r="G12" s="34">
        <f t="shared" si="0"/>
        <v>0</v>
      </c>
    </row>
    <row r="13" spans="1:7" ht="15.75" customHeight="1">
      <c r="A13" s="39"/>
      <c r="B13" s="40"/>
      <c r="C13" s="227"/>
      <c r="D13" s="40"/>
      <c r="E13" s="40"/>
      <c r="F13" s="40"/>
      <c r="G13" s="34">
        <f t="shared" si="0"/>
        <v>0</v>
      </c>
    </row>
    <row r="14" spans="1:7" ht="15.75" customHeight="1">
      <c r="A14" s="39"/>
      <c r="B14" s="40"/>
      <c r="C14" s="227"/>
      <c r="D14" s="40"/>
      <c r="E14" s="40"/>
      <c r="F14" s="40"/>
      <c r="G14" s="34">
        <f t="shared" si="0"/>
        <v>0</v>
      </c>
    </row>
    <row r="15" spans="1:7" ht="15.75" customHeight="1">
      <c r="A15" s="39"/>
      <c r="B15" s="40"/>
      <c r="C15" s="227"/>
      <c r="D15" s="40"/>
      <c r="E15" s="40"/>
      <c r="F15" s="40"/>
      <c r="G15" s="34">
        <f t="shared" si="0"/>
        <v>0</v>
      </c>
    </row>
    <row r="16" spans="1:7" ht="15.75" customHeight="1">
      <c r="A16" s="39"/>
      <c r="B16" s="40"/>
      <c r="C16" s="227"/>
      <c r="D16" s="40"/>
      <c r="E16" s="40"/>
      <c r="F16" s="40"/>
      <c r="G16" s="34">
        <f t="shared" si="0"/>
        <v>0</v>
      </c>
    </row>
    <row r="17" spans="1:7" ht="15.75" customHeight="1">
      <c r="A17" s="39"/>
      <c r="B17" s="40"/>
      <c r="C17" s="227"/>
      <c r="D17" s="40"/>
      <c r="E17" s="40"/>
      <c r="F17" s="40"/>
      <c r="G17" s="34">
        <f t="shared" si="0"/>
        <v>0</v>
      </c>
    </row>
    <row r="18" spans="1:7" ht="15.75" customHeight="1">
      <c r="A18" s="39"/>
      <c r="B18" s="40"/>
      <c r="C18" s="227"/>
      <c r="D18" s="40"/>
      <c r="E18" s="40"/>
      <c r="F18" s="40"/>
      <c r="G18" s="34">
        <f t="shared" si="0"/>
        <v>0</v>
      </c>
    </row>
    <row r="19" spans="1:7" ht="15.75" customHeight="1">
      <c r="A19" s="39"/>
      <c r="B19" s="40"/>
      <c r="C19" s="227"/>
      <c r="D19" s="40"/>
      <c r="E19" s="40"/>
      <c r="F19" s="40"/>
      <c r="G19" s="34">
        <f t="shared" si="0"/>
        <v>0</v>
      </c>
    </row>
    <row r="20" spans="1:7" ht="15.75" customHeight="1">
      <c r="A20" s="39"/>
      <c r="B20" s="40"/>
      <c r="C20" s="227"/>
      <c r="D20" s="40"/>
      <c r="E20" s="40"/>
      <c r="F20" s="40"/>
      <c r="G20" s="34">
        <f t="shared" si="0"/>
        <v>0</v>
      </c>
    </row>
    <row r="21" spans="1:7" ht="15.75" customHeight="1">
      <c r="A21" s="39"/>
      <c r="B21" s="40"/>
      <c r="C21" s="227"/>
      <c r="D21" s="40"/>
      <c r="E21" s="40"/>
      <c r="F21" s="40"/>
      <c r="G21" s="34">
        <f t="shared" si="0"/>
        <v>0</v>
      </c>
    </row>
    <row r="22" spans="1:7" ht="15.75" customHeight="1">
      <c r="A22" s="39"/>
      <c r="B22" s="40"/>
      <c r="C22" s="227"/>
      <c r="D22" s="40"/>
      <c r="E22" s="40"/>
      <c r="F22" s="40"/>
      <c r="G22" s="34">
        <f t="shared" si="0"/>
        <v>0</v>
      </c>
    </row>
    <row r="23" spans="1:7" ht="15.75" customHeight="1">
      <c r="A23" s="39"/>
      <c r="B23" s="40"/>
      <c r="C23" s="227"/>
      <c r="D23" s="40"/>
      <c r="E23" s="40"/>
      <c r="F23" s="40"/>
      <c r="G23" s="34">
        <f t="shared" si="0"/>
        <v>0</v>
      </c>
    </row>
    <row r="24" spans="1:7" ht="15.75" customHeight="1">
      <c r="A24" s="39"/>
      <c r="B24" s="40"/>
      <c r="C24" s="227"/>
      <c r="D24" s="40"/>
      <c r="E24" s="40"/>
      <c r="F24" s="40"/>
      <c r="G24" s="34">
        <f t="shared" si="0"/>
        <v>0</v>
      </c>
    </row>
    <row r="25" spans="1:7" ht="15.75" customHeight="1" thickBot="1">
      <c r="A25" s="41"/>
      <c r="B25" s="42"/>
      <c r="C25" s="228"/>
      <c r="D25" s="42"/>
      <c r="E25" s="42"/>
      <c r="F25" s="42"/>
      <c r="G25" s="34">
        <f t="shared" si="0"/>
        <v>0</v>
      </c>
    </row>
    <row r="26" spans="1:7" s="38" customFormat="1" ht="18" customHeight="1" thickBot="1">
      <c r="A26" s="72" t="s">
        <v>47</v>
      </c>
      <c r="B26" s="73">
        <f>SUM(B7:B25)</f>
        <v>159367472</v>
      </c>
      <c r="C26" s="54"/>
      <c r="D26" s="73">
        <f>SUM(D7:D25)</f>
        <v>0</v>
      </c>
      <c r="E26" s="73"/>
      <c r="F26" s="73">
        <f>SUM(F7:F25)</f>
        <v>122209624</v>
      </c>
      <c r="G26" s="43">
        <f>SUM(G7:G25)</f>
        <v>122209624</v>
      </c>
    </row>
  </sheetData>
  <sheetProtection/>
  <mergeCells count="2">
    <mergeCell ref="A3:G3"/>
    <mergeCell ref="B1:G1"/>
  </mergeCells>
  <printOptions horizontalCentered="1"/>
  <pageMargins left="0.65" right="0.7874015748031497" top="1.2369791666666667" bottom="0.984251968503937" header="0.7874015748031497" footer="0.7874015748031497"/>
  <pageSetup horizontalDpi="300" verticalDpi="300" orientation="landscape" paperSize="9" scale="91" r:id="rId1"/>
  <headerFooter alignWithMargins="0">
    <oddHeader xml:space="preserve">&amp;R&amp;"Times New Roman CE,Félkövér dőlt"&amp;11 4. melléklet&amp;"Times New Roman CE,Normál"&amp;10
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N50"/>
  <sheetViews>
    <sheetView zoomScale="120" zoomScaleNormal="120" zoomScaleSheetLayoutView="100" workbookViewId="0" topLeftCell="A1">
      <selection activeCell="O8" sqref="O8"/>
    </sheetView>
  </sheetViews>
  <sheetFormatPr defaultColWidth="9.00390625" defaultRowHeight="12.75"/>
  <cols>
    <col min="1" max="1" width="28.50390625" style="31" customWidth="1"/>
    <col min="2" max="13" width="10.00390625" style="31" customWidth="1"/>
    <col min="14" max="14" width="4.00390625" style="31" customWidth="1"/>
    <col min="15" max="16384" width="9.375" style="31" customWidth="1"/>
  </cols>
  <sheetData>
    <row r="1" spans="1:13" ht="15">
      <c r="A1" s="824" t="str">
        <f>CONCATENATE("5. melléklet ",Z_ALAPADATOK!A7," ",Z_ALAPADATOK!B7," ",Z_ALAPADATOK!C7," ",Z_ALAPADATOK!D7," ",Z_ALAPADATOK!E7," ",Z_ALAPADATOK!F7," ",Z_ALAPADATOK!G7," ",Z_ALAPADATOK!H7)</f>
        <v>5. melléklet a 2 / 2019. ( IV.26. ) önkormányzati rendelethez</v>
      </c>
      <c r="B1" s="824"/>
      <c r="C1" s="824"/>
      <c r="D1" s="824"/>
      <c r="E1" s="824"/>
      <c r="F1" s="824"/>
      <c r="G1" s="824"/>
      <c r="H1" s="824"/>
      <c r="I1" s="824"/>
      <c r="J1" s="824"/>
      <c r="K1" s="824"/>
      <c r="L1" s="824"/>
      <c r="M1" s="824"/>
    </row>
    <row r="2" spans="1:13" ht="15.75">
      <c r="A2" s="825" t="s">
        <v>530</v>
      </c>
      <c r="B2" s="825"/>
      <c r="C2" s="825"/>
      <c r="D2" s="825"/>
      <c r="E2" s="825"/>
      <c r="F2" s="825"/>
      <c r="G2" s="825"/>
      <c r="H2" s="825"/>
      <c r="I2" s="825"/>
      <c r="J2" s="825"/>
      <c r="K2" s="825"/>
      <c r="L2" s="825"/>
      <c r="M2" s="825"/>
    </row>
    <row r="3" spans="1:13" ht="15.75">
      <c r="A3" s="826" t="s">
        <v>909</v>
      </c>
      <c r="B3" s="789"/>
      <c r="C3" s="789"/>
      <c r="D3" s="789"/>
      <c r="E3" s="789"/>
      <c r="F3" s="789"/>
      <c r="G3" s="789"/>
      <c r="H3" s="789"/>
      <c r="I3" s="789"/>
      <c r="J3" s="789"/>
      <c r="K3" s="789"/>
      <c r="L3" s="789"/>
      <c r="M3" s="789"/>
    </row>
    <row r="4" spans="1:14" ht="15.75" customHeight="1">
      <c r="A4" s="821" t="s">
        <v>447</v>
      </c>
      <c r="B4" s="821"/>
      <c r="C4" s="821"/>
      <c r="D4" s="846"/>
      <c r="E4" s="846"/>
      <c r="F4" s="846"/>
      <c r="G4" s="846"/>
      <c r="H4" s="846"/>
      <c r="I4" s="846"/>
      <c r="J4" s="846"/>
      <c r="K4" s="846"/>
      <c r="L4" s="846"/>
      <c r="M4" s="846"/>
      <c r="N4" s="834"/>
    </row>
    <row r="5" spans="1:14" ht="15.75" thickBot="1">
      <c r="A5" s="402"/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835" t="str">
        <f>'Z_4.sz.mell.'!G4</f>
        <v> Forintban!</v>
      </c>
      <c r="M5" s="835"/>
      <c r="N5" s="834"/>
    </row>
    <row r="6" spans="1:14" ht="13.5" thickBot="1">
      <c r="A6" s="836" t="s">
        <v>84</v>
      </c>
      <c r="B6" s="839" t="s">
        <v>448</v>
      </c>
      <c r="C6" s="839"/>
      <c r="D6" s="839"/>
      <c r="E6" s="839"/>
      <c r="F6" s="839"/>
      <c r="G6" s="839"/>
      <c r="H6" s="839"/>
      <c r="I6" s="839"/>
      <c r="J6" s="840" t="s">
        <v>449</v>
      </c>
      <c r="K6" s="840"/>
      <c r="L6" s="840"/>
      <c r="M6" s="840"/>
      <c r="N6" s="834"/>
    </row>
    <row r="7" spans="1:14" ht="15" customHeight="1" thickBot="1">
      <c r="A7" s="837"/>
      <c r="B7" s="822" t="s">
        <v>450</v>
      </c>
      <c r="C7" s="823" t="s">
        <v>451</v>
      </c>
      <c r="D7" s="829" t="s">
        <v>452</v>
      </c>
      <c r="E7" s="829"/>
      <c r="F7" s="829"/>
      <c r="G7" s="829"/>
      <c r="H7" s="829"/>
      <c r="I7" s="829"/>
      <c r="J7" s="841"/>
      <c r="K7" s="841"/>
      <c r="L7" s="841"/>
      <c r="M7" s="841"/>
      <c r="N7" s="834"/>
    </row>
    <row r="8" spans="1:14" ht="21.75" thickBot="1">
      <c r="A8" s="837"/>
      <c r="B8" s="822"/>
      <c r="C8" s="823"/>
      <c r="D8" s="287" t="s">
        <v>450</v>
      </c>
      <c r="E8" s="287" t="s">
        <v>451</v>
      </c>
      <c r="F8" s="287" t="s">
        <v>450</v>
      </c>
      <c r="G8" s="287" t="s">
        <v>451</v>
      </c>
      <c r="H8" s="287" t="s">
        <v>450</v>
      </c>
      <c r="I8" s="287" t="s">
        <v>451</v>
      </c>
      <c r="J8" s="841"/>
      <c r="K8" s="841"/>
      <c r="L8" s="841"/>
      <c r="M8" s="841"/>
      <c r="N8" s="834"/>
    </row>
    <row r="9" spans="1:14" ht="32.25" thickBot="1">
      <c r="A9" s="838"/>
      <c r="B9" s="823" t="s">
        <v>453</v>
      </c>
      <c r="C9" s="823"/>
      <c r="D9" s="823" t="str">
        <f>+CONCATENATE(LEFT(Z_ÖSSZEFÜGGÉSEK!A6,4),". előtt")</f>
        <v>2018. előtt</v>
      </c>
      <c r="E9" s="823"/>
      <c r="F9" s="833" t="str">
        <f>+CONCATENATE(LEFT(Z_ÖSSZEFÜGGÉSEK!A6,4),". XII.31.")</f>
        <v>2018. XII.31.</v>
      </c>
      <c r="G9" s="833"/>
      <c r="H9" s="822" t="str">
        <f>+CONCATENATE(LEFT(Z_ÖSSZEFÜGGÉSEK!A6,4),". után")</f>
        <v>2018. után</v>
      </c>
      <c r="I9" s="822"/>
      <c r="J9" s="375" t="str">
        <f>+D9</f>
        <v>2018. előtt</v>
      </c>
      <c r="K9" s="374" t="str">
        <f>+F9</f>
        <v>2018. XII.31.</v>
      </c>
      <c r="L9" s="286" t="s">
        <v>37</v>
      </c>
      <c r="M9" s="374" t="str">
        <f>+CONCATENATE("Teljesítés %-a ",LEFT(Z_ÖSSZEFÜGGÉSEK!A6,4),". XII. 31-ig")</f>
        <v>Teljesítés %-a 2018. XII. 31-ig</v>
      </c>
      <c r="N9" s="834"/>
    </row>
    <row r="10" spans="1:14" ht="13.5" thickBot="1">
      <c r="A10" s="288" t="s">
        <v>388</v>
      </c>
      <c r="B10" s="286" t="s">
        <v>389</v>
      </c>
      <c r="C10" s="286" t="s">
        <v>390</v>
      </c>
      <c r="D10" s="289" t="s">
        <v>392</v>
      </c>
      <c r="E10" s="287" t="s">
        <v>391</v>
      </c>
      <c r="F10" s="287" t="s">
        <v>393</v>
      </c>
      <c r="G10" s="287" t="s">
        <v>394</v>
      </c>
      <c r="H10" s="286" t="s">
        <v>395</v>
      </c>
      <c r="I10" s="289" t="s">
        <v>426</v>
      </c>
      <c r="J10" s="289" t="s">
        <v>454</v>
      </c>
      <c r="K10" s="289" t="s">
        <v>455</v>
      </c>
      <c r="L10" s="289" t="s">
        <v>456</v>
      </c>
      <c r="M10" s="290" t="s">
        <v>457</v>
      </c>
      <c r="N10" s="834"/>
    </row>
    <row r="11" spans="1:14" ht="12.75">
      <c r="A11" s="291" t="s">
        <v>85</v>
      </c>
      <c r="B11" s="336"/>
      <c r="C11" s="337"/>
      <c r="D11" s="337"/>
      <c r="E11" s="338"/>
      <c r="F11" s="337"/>
      <c r="G11" s="337"/>
      <c r="H11" s="337"/>
      <c r="I11" s="337"/>
      <c r="J11" s="337"/>
      <c r="K11" s="337"/>
      <c r="L11" s="339">
        <f aca="true" t="shared" si="0" ref="L11:L17">+J11+K11</f>
        <v>0</v>
      </c>
      <c r="M11" s="340">
        <f>IF((C11&lt;&gt;0),ROUND((L11/C11)*100,1),"")</f>
      </c>
      <c r="N11" s="834"/>
    </row>
    <row r="12" spans="1:14" ht="12.75">
      <c r="A12" s="293" t="s">
        <v>97</v>
      </c>
      <c r="B12" s="341"/>
      <c r="C12" s="342"/>
      <c r="D12" s="342"/>
      <c r="E12" s="342"/>
      <c r="F12" s="342"/>
      <c r="G12" s="342"/>
      <c r="H12" s="342"/>
      <c r="I12" s="342"/>
      <c r="J12" s="342"/>
      <c r="K12" s="342"/>
      <c r="L12" s="343">
        <f t="shared" si="0"/>
        <v>0</v>
      </c>
      <c r="M12" s="344">
        <f aca="true" t="shared" si="1" ref="M12:M17">IF((C12&lt;&gt;0),ROUND((L12/C12)*100,1),"")</f>
      </c>
      <c r="N12" s="834"/>
    </row>
    <row r="13" spans="1:14" ht="12.75">
      <c r="A13" s="294" t="s">
        <v>86</v>
      </c>
      <c r="B13" s="345"/>
      <c r="C13" s="352"/>
      <c r="D13" s="346"/>
      <c r="E13" s="346"/>
      <c r="F13" s="346"/>
      <c r="G13" s="346"/>
      <c r="H13" s="346"/>
      <c r="I13" s="346"/>
      <c r="J13" s="346"/>
      <c r="K13" s="346"/>
      <c r="L13" s="343">
        <f t="shared" si="0"/>
        <v>0</v>
      </c>
      <c r="M13" s="344">
        <f t="shared" si="1"/>
      </c>
      <c r="N13" s="834"/>
    </row>
    <row r="14" spans="1:14" ht="12.75">
      <c r="A14" s="294" t="s">
        <v>98</v>
      </c>
      <c r="B14" s="345"/>
      <c r="C14" s="346"/>
      <c r="D14" s="346"/>
      <c r="E14" s="346"/>
      <c r="F14" s="346"/>
      <c r="G14" s="346"/>
      <c r="H14" s="346"/>
      <c r="I14" s="346"/>
      <c r="J14" s="346"/>
      <c r="K14" s="346"/>
      <c r="L14" s="343">
        <f t="shared" si="0"/>
        <v>0</v>
      </c>
      <c r="M14" s="344">
        <f t="shared" si="1"/>
      </c>
      <c r="N14" s="834"/>
    </row>
    <row r="15" spans="1:14" ht="12.75">
      <c r="A15" s="294" t="s">
        <v>87</v>
      </c>
      <c r="B15" s="345"/>
      <c r="C15" s="346"/>
      <c r="D15" s="346"/>
      <c r="E15" s="346"/>
      <c r="F15" s="346"/>
      <c r="G15" s="346"/>
      <c r="H15" s="346"/>
      <c r="I15" s="346"/>
      <c r="J15" s="346"/>
      <c r="K15" s="346"/>
      <c r="L15" s="343">
        <f t="shared" si="0"/>
        <v>0</v>
      </c>
      <c r="M15" s="344">
        <f t="shared" si="1"/>
      </c>
      <c r="N15" s="834"/>
    </row>
    <row r="16" spans="1:14" ht="12.75">
      <c r="A16" s="294" t="s">
        <v>88</v>
      </c>
      <c r="B16" s="345"/>
      <c r="C16" s="346"/>
      <c r="D16" s="346"/>
      <c r="E16" s="346"/>
      <c r="F16" s="346"/>
      <c r="G16" s="346"/>
      <c r="H16" s="346"/>
      <c r="I16" s="346"/>
      <c r="J16" s="346"/>
      <c r="K16" s="346"/>
      <c r="L16" s="343">
        <f t="shared" si="0"/>
        <v>0</v>
      </c>
      <c r="M16" s="344">
        <f t="shared" si="1"/>
      </c>
      <c r="N16" s="834"/>
    </row>
    <row r="17" spans="1:14" ht="15" customHeight="1" thickBot="1">
      <c r="A17" s="295"/>
      <c r="B17" s="347"/>
      <c r="C17" s="348"/>
      <c r="D17" s="348"/>
      <c r="E17" s="348"/>
      <c r="F17" s="348"/>
      <c r="G17" s="348"/>
      <c r="H17" s="348"/>
      <c r="I17" s="348"/>
      <c r="J17" s="348"/>
      <c r="K17" s="348"/>
      <c r="L17" s="343">
        <f t="shared" si="0"/>
        <v>0</v>
      </c>
      <c r="M17" s="349">
        <f t="shared" si="1"/>
      </c>
      <c r="N17" s="834"/>
    </row>
    <row r="18" spans="1:14" ht="13.5" thickBot="1">
      <c r="A18" s="297" t="s">
        <v>90</v>
      </c>
      <c r="B18" s="350">
        <f>B11+SUM(B13:B17)</f>
        <v>0</v>
      </c>
      <c r="C18" s="350">
        <f aca="true" t="shared" si="2" ref="C18:L18">C11+SUM(C13:C17)</f>
        <v>0</v>
      </c>
      <c r="D18" s="350">
        <f t="shared" si="2"/>
        <v>0</v>
      </c>
      <c r="E18" s="350">
        <f t="shared" si="2"/>
        <v>0</v>
      </c>
      <c r="F18" s="350">
        <f t="shared" si="2"/>
        <v>0</v>
      </c>
      <c r="G18" s="350">
        <f t="shared" si="2"/>
        <v>0</v>
      </c>
      <c r="H18" s="350">
        <f t="shared" si="2"/>
        <v>0</v>
      </c>
      <c r="I18" s="350">
        <f t="shared" si="2"/>
        <v>0</v>
      </c>
      <c r="J18" s="350">
        <f t="shared" si="2"/>
        <v>0</v>
      </c>
      <c r="K18" s="350">
        <f t="shared" si="2"/>
        <v>0</v>
      </c>
      <c r="L18" s="350">
        <f t="shared" si="2"/>
        <v>0</v>
      </c>
      <c r="M18" s="351">
        <f>IF((C18&lt;&gt;0),ROUND((L18/C18)*100,1),"")</f>
      </c>
      <c r="N18" s="834"/>
    </row>
    <row r="19" spans="1:14" ht="12.75">
      <c r="A19" s="298"/>
      <c r="B19" s="299"/>
      <c r="C19" s="300"/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834"/>
    </row>
    <row r="20" spans="1:14" ht="13.5" thickBot="1">
      <c r="A20" s="301" t="s">
        <v>89</v>
      </c>
      <c r="B20" s="302"/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834"/>
    </row>
    <row r="21" spans="1:14" ht="12.75">
      <c r="A21" s="304" t="s">
        <v>93</v>
      </c>
      <c r="B21" s="353"/>
      <c r="C21" s="354"/>
      <c r="D21" s="354"/>
      <c r="E21" s="355"/>
      <c r="F21" s="354"/>
      <c r="G21" s="354"/>
      <c r="H21" s="354"/>
      <c r="I21" s="354"/>
      <c r="J21" s="354"/>
      <c r="K21" s="354"/>
      <c r="L21" s="356">
        <f>+J21+K21</f>
        <v>0</v>
      </c>
      <c r="M21" s="357">
        <f aca="true" t="shared" si="3" ref="M21:M26">IF((C21&lt;&gt;0),ROUND((L21/C21)*100,1),"")</f>
      </c>
      <c r="N21" s="834"/>
    </row>
    <row r="22" spans="1:14" ht="12.75">
      <c r="A22" s="305" t="s">
        <v>94</v>
      </c>
      <c r="B22" s="358"/>
      <c r="C22" s="352"/>
      <c r="D22" s="352"/>
      <c r="E22" s="352"/>
      <c r="F22" s="352"/>
      <c r="G22" s="352"/>
      <c r="H22" s="352"/>
      <c r="I22" s="352"/>
      <c r="J22" s="352"/>
      <c r="K22" s="352"/>
      <c r="L22" s="359">
        <f>+J22+K22</f>
        <v>0</v>
      </c>
      <c r="M22" s="360">
        <f t="shared" si="3"/>
      </c>
      <c r="N22" s="834"/>
    </row>
    <row r="23" spans="1:14" ht="12.75">
      <c r="A23" s="305" t="s">
        <v>95</v>
      </c>
      <c r="B23" s="361"/>
      <c r="C23" s="352"/>
      <c r="D23" s="352"/>
      <c r="E23" s="352"/>
      <c r="F23" s="352"/>
      <c r="G23" s="352"/>
      <c r="H23" s="352"/>
      <c r="I23" s="352"/>
      <c r="J23" s="352"/>
      <c r="K23" s="352"/>
      <c r="L23" s="359">
        <f>+J23+K23</f>
        <v>0</v>
      </c>
      <c r="M23" s="360">
        <f t="shared" si="3"/>
      </c>
      <c r="N23" s="834"/>
    </row>
    <row r="24" spans="1:14" ht="12.75">
      <c r="A24" s="305" t="s">
        <v>96</v>
      </c>
      <c r="B24" s="361"/>
      <c r="C24" s="352"/>
      <c r="D24" s="352"/>
      <c r="E24" s="352"/>
      <c r="F24" s="352"/>
      <c r="G24" s="352"/>
      <c r="H24" s="352"/>
      <c r="I24" s="352"/>
      <c r="J24" s="352"/>
      <c r="K24" s="352"/>
      <c r="L24" s="359">
        <f>+J24+K24</f>
        <v>0</v>
      </c>
      <c r="M24" s="360">
        <f t="shared" si="3"/>
      </c>
      <c r="N24" s="834"/>
    </row>
    <row r="25" spans="1:14" ht="13.5" thickBot="1">
      <c r="A25" s="306"/>
      <c r="B25" s="362"/>
      <c r="C25" s="363"/>
      <c r="D25" s="363"/>
      <c r="E25" s="363"/>
      <c r="F25" s="363"/>
      <c r="G25" s="363"/>
      <c r="H25" s="363"/>
      <c r="I25" s="363"/>
      <c r="J25" s="363"/>
      <c r="K25" s="363"/>
      <c r="L25" s="359">
        <f>+J25+K25</f>
        <v>0</v>
      </c>
      <c r="M25" s="364">
        <f t="shared" si="3"/>
      </c>
      <c r="N25" s="834"/>
    </row>
    <row r="26" spans="1:14" ht="13.5" thickBot="1">
      <c r="A26" s="307" t="s">
        <v>75</v>
      </c>
      <c r="B26" s="365">
        <f aca="true" t="shared" si="4" ref="B26:L26">SUM(B21:B25)</f>
        <v>0</v>
      </c>
      <c r="C26" s="365">
        <f t="shared" si="4"/>
        <v>0</v>
      </c>
      <c r="D26" s="365">
        <f t="shared" si="4"/>
        <v>0</v>
      </c>
      <c r="E26" s="365">
        <f t="shared" si="4"/>
        <v>0</v>
      </c>
      <c r="F26" s="365">
        <f t="shared" si="4"/>
        <v>0</v>
      </c>
      <c r="G26" s="365">
        <f t="shared" si="4"/>
        <v>0</v>
      </c>
      <c r="H26" s="365">
        <f t="shared" si="4"/>
        <v>0</v>
      </c>
      <c r="I26" s="365">
        <f t="shared" si="4"/>
        <v>0</v>
      </c>
      <c r="J26" s="365">
        <f t="shared" si="4"/>
        <v>0</v>
      </c>
      <c r="K26" s="365">
        <f t="shared" si="4"/>
        <v>0</v>
      </c>
      <c r="L26" s="365">
        <f t="shared" si="4"/>
        <v>0</v>
      </c>
      <c r="M26" s="366">
        <f t="shared" si="3"/>
      </c>
      <c r="N26" s="834"/>
    </row>
    <row r="27" spans="1:14" ht="12.75">
      <c r="A27" s="830" t="s">
        <v>526</v>
      </c>
      <c r="B27" s="830"/>
      <c r="C27" s="830"/>
      <c r="D27" s="830"/>
      <c r="E27" s="830"/>
      <c r="F27" s="830"/>
      <c r="G27" s="830"/>
      <c r="H27" s="830"/>
      <c r="I27" s="830"/>
      <c r="J27" s="830"/>
      <c r="K27" s="830"/>
      <c r="L27" s="830"/>
      <c r="M27" s="830"/>
      <c r="N27" s="834"/>
    </row>
    <row r="28" spans="1:14" ht="5.25" customHeight="1">
      <c r="A28" s="308"/>
      <c r="B28" s="308"/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834"/>
    </row>
    <row r="29" spans="1:14" ht="15.75">
      <c r="A29" s="832" t="str">
        <f>+CONCATENATE("Önkormányzaton kívüli EU-s projekthez történő hozzájárulás ",LEFT(Z_ÖSSZEFÜGGÉSEK!A6,4),". XII. 31.  előirányzata és teljesítése")</f>
        <v>Önkormányzaton kívüli EU-s projekthez történő hozzájárulás 2018. XII. 31.  előirányzata és teljesítése</v>
      </c>
      <c r="B29" s="832"/>
      <c r="C29" s="832"/>
      <c r="D29" s="832"/>
      <c r="E29" s="832"/>
      <c r="F29" s="832"/>
      <c r="G29" s="832"/>
      <c r="H29" s="832"/>
      <c r="I29" s="832"/>
      <c r="J29" s="832"/>
      <c r="K29" s="832"/>
      <c r="L29" s="832"/>
      <c r="M29" s="832"/>
      <c r="N29" s="834"/>
    </row>
    <row r="30" spans="1:14" ht="12" customHeight="1" thickBo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831" t="str">
        <f>L5</f>
        <v> Forintban!</v>
      </c>
      <c r="M30" s="831"/>
      <c r="N30" s="834"/>
    </row>
    <row r="31" spans="1:14" ht="21.75" thickBot="1">
      <c r="A31" s="847" t="s">
        <v>91</v>
      </c>
      <c r="B31" s="848"/>
      <c r="C31" s="848"/>
      <c r="D31" s="848"/>
      <c r="E31" s="848"/>
      <c r="F31" s="848"/>
      <c r="G31" s="848"/>
      <c r="H31" s="848"/>
      <c r="I31" s="848"/>
      <c r="J31" s="848"/>
      <c r="K31" s="309" t="s">
        <v>458</v>
      </c>
      <c r="L31" s="309" t="s">
        <v>459</v>
      </c>
      <c r="M31" s="309" t="s">
        <v>449</v>
      </c>
      <c r="N31" s="834"/>
    </row>
    <row r="32" spans="1:14" ht="12.75">
      <c r="A32" s="827"/>
      <c r="B32" s="828"/>
      <c r="C32" s="828"/>
      <c r="D32" s="828"/>
      <c r="E32" s="828"/>
      <c r="F32" s="828"/>
      <c r="G32" s="828"/>
      <c r="H32" s="828"/>
      <c r="I32" s="828"/>
      <c r="J32" s="828"/>
      <c r="K32" s="292"/>
      <c r="L32" s="310"/>
      <c r="M32" s="310"/>
      <c r="N32" s="834"/>
    </row>
    <row r="33" spans="1:14" ht="13.5" thickBot="1">
      <c r="A33" s="844"/>
      <c r="B33" s="845"/>
      <c r="C33" s="845"/>
      <c r="D33" s="845"/>
      <c r="E33" s="845"/>
      <c r="F33" s="845"/>
      <c r="G33" s="845"/>
      <c r="H33" s="845"/>
      <c r="I33" s="845"/>
      <c r="J33" s="845"/>
      <c r="K33" s="311"/>
      <c r="L33" s="296"/>
      <c r="M33" s="296"/>
      <c r="N33" s="834"/>
    </row>
    <row r="34" spans="1:14" ht="13.5" thickBot="1">
      <c r="A34" s="842" t="s">
        <v>525</v>
      </c>
      <c r="B34" s="843"/>
      <c r="C34" s="843"/>
      <c r="D34" s="843"/>
      <c r="E34" s="843"/>
      <c r="F34" s="843"/>
      <c r="G34" s="843"/>
      <c r="H34" s="843"/>
      <c r="I34" s="843"/>
      <c r="J34" s="843"/>
      <c r="K34" s="312">
        <f>SUM(K32:K33)</f>
        <v>0</v>
      </c>
      <c r="L34" s="312">
        <f>SUM(L32:L33)</f>
        <v>0</v>
      </c>
      <c r="M34" s="312">
        <f>SUM(M32:M33)</f>
        <v>0</v>
      </c>
      <c r="N34" s="834"/>
    </row>
    <row r="35" ht="12.75">
      <c r="N35" s="834"/>
    </row>
    <row r="50" ht="12.75">
      <c r="A50" s="32"/>
    </row>
  </sheetData>
  <sheetProtection sheet="1"/>
  <mergeCells count="24">
    <mergeCell ref="N4:N35"/>
    <mergeCell ref="L5:M5"/>
    <mergeCell ref="A6:A9"/>
    <mergeCell ref="B6:I6"/>
    <mergeCell ref="J6:M8"/>
    <mergeCell ref="A34:J34"/>
    <mergeCell ref="A33:J33"/>
    <mergeCell ref="D4:M4"/>
    <mergeCell ref="A31:J31"/>
    <mergeCell ref="H9:I9"/>
    <mergeCell ref="A32:J32"/>
    <mergeCell ref="D7:I7"/>
    <mergeCell ref="D9:E9"/>
    <mergeCell ref="A27:M27"/>
    <mergeCell ref="C7:C8"/>
    <mergeCell ref="L30:M30"/>
    <mergeCell ref="A29:M29"/>
    <mergeCell ref="F9:G9"/>
    <mergeCell ref="A4:C4"/>
    <mergeCell ref="B7:B8"/>
    <mergeCell ref="B9:C9"/>
    <mergeCell ref="A1:M1"/>
    <mergeCell ref="A2:M2"/>
    <mergeCell ref="A3:M3"/>
  </mergeCells>
  <printOptions horizontalCentered="1"/>
  <pageMargins left="0.7874015748031497" right="0.7874015748031497" top="0.7874015748031497" bottom="0.7874015748031497" header="0.7874015748031497" footer="0.7874015748031497"/>
  <pageSetup horizontalDpi="600" verticalDpi="600" orientation="landscape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20" zoomScaleNormal="120" zoomScaleSheetLayoutView="100" workbookViewId="0" topLeftCell="A1">
      <selection activeCell="B30" sqref="B30"/>
    </sheetView>
  </sheetViews>
  <sheetFormatPr defaultColWidth="9.00390625" defaultRowHeight="12.75"/>
  <cols>
    <col min="1" max="1" width="16.125" style="159" customWidth="1"/>
    <col min="2" max="2" width="63.875" style="160" customWidth="1"/>
    <col min="3" max="3" width="14.125" style="161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87"/>
      <c r="B1" s="853" t="str">
        <f>CONCATENATE("6.1. melléklet ",Z_ALAPADATOK!A7," ",Z_ALAPADATOK!B7," ",Z_ALAPADATOK!C7," ",Z_ALAPADATOK!D7," ",Z_ALAPADATOK!E7," ",Z_ALAPADATOK!F7," ",Z_ALAPADATOK!G7," ",Z_ALAPADATOK!H7)</f>
        <v>6.1. melléklet a 2 / 2019. ( IV.26. ) önkormányzati rendelethez</v>
      </c>
      <c r="C1" s="854"/>
      <c r="D1" s="854"/>
      <c r="E1" s="854"/>
    </row>
    <row r="2" spans="1:5" s="48" customFormat="1" ht="21" customHeight="1" thickBot="1">
      <c r="A2" s="396" t="s">
        <v>45</v>
      </c>
      <c r="B2" s="852" t="str">
        <f>CONCATENATE(Z_ALAPADATOK!A3)</f>
        <v>Kállósemjén Nagyközség Önkormányzata</v>
      </c>
      <c r="C2" s="852"/>
      <c r="D2" s="852"/>
      <c r="E2" s="397" t="s">
        <v>39</v>
      </c>
    </row>
    <row r="3" spans="1:5" s="48" customFormat="1" ht="24.75" thickBot="1">
      <c r="A3" s="396" t="s">
        <v>137</v>
      </c>
      <c r="B3" s="852" t="s">
        <v>305</v>
      </c>
      <c r="C3" s="852"/>
      <c r="D3" s="852"/>
      <c r="E3" s="398" t="s">
        <v>39</v>
      </c>
    </row>
    <row r="4" spans="1:5" s="49" customFormat="1" ht="15.75" customHeight="1" thickBot="1">
      <c r="A4" s="390"/>
      <c r="B4" s="390"/>
      <c r="C4" s="391"/>
      <c r="D4" s="392"/>
      <c r="E4" s="401" t="str">
        <f>'Z_4.sz.mell.'!G4</f>
        <v> Forintban!</v>
      </c>
    </row>
    <row r="5" spans="1:5" ht="24.75" thickBot="1">
      <c r="A5" s="393" t="s">
        <v>138</v>
      </c>
      <c r="B5" s="394" t="s">
        <v>496</v>
      </c>
      <c r="C5" s="394" t="s">
        <v>460</v>
      </c>
      <c r="D5" s="395" t="s">
        <v>461</v>
      </c>
      <c r="E5" s="376" t="str">
        <f>+CONCATENATE("Teljesítés",CHAR(10),LEFT(Z_ÖSSZEFÜGGÉSEK!A6,4),". XII. 31.")</f>
        <v>Teljesítés
2018. XII. 31.</v>
      </c>
    </row>
    <row r="6" spans="1:5" s="44" customFormat="1" ht="12.75" customHeight="1" thickBot="1">
      <c r="A6" s="74" t="s">
        <v>388</v>
      </c>
      <c r="B6" s="75" t="s">
        <v>389</v>
      </c>
      <c r="C6" s="75" t="s">
        <v>390</v>
      </c>
      <c r="D6" s="313" t="s">
        <v>392</v>
      </c>
      <c r="E6" s="76" t="s">
        <v>391</v>
      </c>
    </row>
    <row r="7" spans="1:5" s="44" customFormat="1" ht="15.75" customHeight="1" thickBot="1">
      <c r="A7" s="849" t="s">
        <v>40</v>
      </c>
      <c r="B7" s="850"/>
      <c r="C7" s="850"/>
      <c r="D7" s="850"/>
      <c r="E7" s="851"/>
    </row>
    <row r="8" spans="1:5" s="44" customFormat="1" ht="12" customHeight="1" thickBot="1">
      <c r="A8" s="25" t="s">
        <v>6</v>
      </c>
      <c r="B8" s="19" t="s">
        <v>162</v>
      </c>
      <c r="C8" s="166">
        <f>+C9+C10+C11+C12+C13+C14</f>
        <v>282510000</v>
      </c>
      <c r="D8" s="253">
        <f>+D9+D10+D11+D12+D13+D14</f>
        <v>293703971</v>
      </c>
      <c r="E8" s="102">
        <f>+E9+E10+E11+E12+E13+E14</f>
        <v>277335831</v>
      </c>
    </row>
    <row r="9" spans="1:5" s="50" customFormat="1" ht="12" customHeight="1">
      <c r="A9" s="196" t="s">
        <v>64</v>
      </c>
      <c r="B9" s="179" t="s">
        <v>163</v>
      </c>
      <c r="C9" s="168">
        <v>128228568</v>
      </c>
      <c r="D9" s="254">
        <v>128228568</v>
      </c>
      <c r="E9" s="104">
        <v>128354838</v>
      </c>
    </row>
    <row r="10" spans="1:5" s="51" customFormat="1" ht="12" customHeight="1">
      <c r="A10" s="197" t="s">
        <v>65</v>
      </c>
      <c r="B10" s="180" t="s">
        <v>164</v>
      </c>
      <c r="C10" s="167">
        <v>62145100</v>
      </c>
      <c r="D10" s="255">
        <v>62145100</v>
      </c>
      <c r="E10" s="103">
        <v>61997800</v>
      </c>
    </row>
    <row r="11" spans="1:5" s="51" customFormat="1" ht="12" customHeight="1">
      <c r="A11" s="197" t="s">
        <v>66</v>
      </c>
      <c r="B11" s="180" t="s">
        <v>165</v>
      </c>
      <c r="C11" s="167">
        <v>64367285</v>
      </c>
      <c r="D11" s="255">
        <v>64922059</v>
      </c>
      <c r="E11" s="103">
        <v>64922059</v>
      </c>
    </row>
    <row r="12" spans="1:5" s="51" customFormat="1" ht="12" customHeight="1">
      <c r="A12" s="197" t="s">
        <v>67</v>
      </c>
      <c r="B12" s="180" t="s">
        <v>166</v>
      </c>
      <c r="C12" s="167">
        <v>4541130</v>
      </c>
      <c r="D12" s="255">
        <v>5588560</v>
      </c>
      <c r="E12" s="103">
        <v>6036701</v>
      </c>
    </row>
    <row r="13" spans="1:5" s="51" customFormat="1" ht="12" customHeight="1">
      <c r="A13" s="197" t="s">
        <v>99</v>
      </c>
      <c r="B13" s="180" t="s">
        <v>396</v>
      </c>
      <c r="C13" s="167">
        <v>23227917</v>
      </c>
      <c r="D13" s="255">
        <v>32819684</v>
      </c>
      <c r="E13" s="103">
        <v>16024433</v>
      </c>
    </row>
    <row r="14" spans="1:5" s="50" customFormat="1" ht="12" customHeight="1" thickBot="1">
      <c r="A14" s="198" t="s">
        <v>68</v>
      </c>
      <c r="B14" s="181" t="s">
        <v>337</v>
      </c>
      <c r="C14" s="167"/>
      <c r="D14" s="255"/>
      <c r="E14" s="103"/>
    </row>
    <row r="15" spans="1:5" s="50" customFormat="1" ht="12" customHeight="1" thickBot="1">
      <c r="A15" s="25" t="s">
        <v>7</v>
      </c>
      <c r="B15" s="109" t="s">
        <v>167</v>
      </c>
      <c r="C15" s="166">
        <f>+C16+C17+C18+C19+C20</f>
        <v>130598640</v>
      </c>
      <c r="D15" s="253">
        <f>+D16+D17+D18+D19+D20</f>
        <v>138627724</v>
      </c>
      <c r="E15" s="102">
        <f>+E16+E17+E18+E19+E20</f>
        <v>204001756</v>
      </c>
    </row>
    <row r="16" spans="1:5" s="50" customFormat="1" ht="12" customHeight="1">
      <c r="A16" s="196" t="s">
        <v>70</v>
      </c>
      <c r="B16" s="179" t="s">
        <v>168</v>
      </c>
      <c r="C16" s="168"/>
      <c r="D16" s="254"/>
      <c r="E16" s="104"/>
    </row>
    <row r="17" spans="1:5" s="50" customFormat="1" ht="12" customHeight="1">
      <c r="A17" s="197" t="s">
        <v>71</v>
      </c>
      <c r="B17" s="180" t="s">
        <v>169</v>
      </c>
      <c r="C17" s="167"/>
      <c r="D17" s="255"/>
      <c r="E17" s="103"/>
    </row>
    <row r="18" spans="1:5" s="50" customFormat="1" ht="12" customHeight="1">
      <c r="A18" s="197" t="s">
        <v>72</v>
      </c>
      <c r="B18" s="180" t="s">
        <v>328</v>
      </c>
      <c r="C18" s="167"/>
      <c r="D18" s="255"/>
      <c r="E18" s="103"/>
    </row>
    <row r="19" spans="1:5" s="50" customFormat="1" ht="12" customHeight="1">
      <c r="A19" s="197" t="s">
        <v>73</v>
      </c>
      <c r="B19" s="180" t="s">
        <v>329</v>
      </c>
      <c r="C19" s="167"/>
      <c r="D19" s="255"/>
      <c r="E19" s="103"/>
    </row>
    <row r="20" spans="1:5" s="50" customFormat="1" ht="12" customHeight="1">
      <c r="A20" s="197" t="s">
        <v>74</v>
      </c>
      <c r="B20" s="180" t="s">
        <v>170</v>
      </c>
      <c r="C20" s="167">
        <v>130598640</v>
      </c>
      <c r="D20" s="255">
        <v>138627724</v>
      </c>
      <c r="E20" s="103">
        <v>204001756</v>
      </c>
    </row>
    <row r="21" spans="1:5" s="51" customFormat="1" ht="12" customHeight="1" thickBot="1">
      <c r="A21" s="198" t="s">
        <v>81</v>
      </c>
      <c r="B21" s="181" t="s">
        <v>171</v>
      </c>
      <c r="C21" s="169"/>
      <c r="D21" s="256"/>
      <c r="E21" s="105"/>
    </row>
    <row r="22" spans="1:5" s="51" customFormat="1" ht="12" customHeight="1" thickBot="1">
      <c r="A22" s="25" t="s">
        <v>8</v>
      </c>
      <c r="B22" s="19" t="s">
        <v>172</v>
      </c>
      <c r="C22" s="166">
        <f>+C23+C24+C25+C26+C27</f>
        <v>2840403</v>
      </c>
      <c r="D22" s="253">
        <f>+D23+D24+D25+D26+D27</f>
        <v>43339733</v>
      </c>
      <c r="E22" s="102">
        <f>+E23+E24+E25+E26+E27</f>
        <v>51577821</v>
      </c>
    </row>
    <row r="23" spans="1:5" s="51" customFormat="1" ht="12" customHeight="1">
      <c r="A23" s="196" t="s">
        <v>53</v>
      </c>
      <c r="B23" s="179" t="s">
        <v>173</v>
      </c>
      <c r="C23" s="168"/>
      <c r="D23" s="254">
        <v>107000</v>
      </c>
      <c r="E23" s="104">
        <v>107000</v>
      </c>
    </row>
    <row r="24" spans="1:5" s="50" customFormat="1" ht="12" customHeight="1">
      <c r="A24" s="197" t="s">
        <v>54</v>
      </c>
      <c r="B24" s="180" t="s">
        <v>174</v>
      </c>
      <c r="C24" s="167"/>
      <c r="D24" s="255"/>
      <c r="E24" s="103"/>
    </row>
    <row r="25" spans="1:5" s="51" customFormat="1" ht="12" customHeight="1">
      <c r="A25" s="197" t="s">
        <v>55</v>
      </c>
      <c r="B25" s="180" t="s">
        <v>330</v>
      </c>
      <c r="C25" s="167"/>
      <c r="D25" s="255"/>
      <c r="E25" s="103"/>
    </row>
    <row r="26" spans="1:5" s="51" customFormat="1" ht="12" customHeight="1">
      <c r="A26" s="197" t="s">
        <v>56</v>
      </c>
      <c r="B26" s="180" t="s">
        <v>331</v>
      </c>
      <c r="C26" s="167"/>
      <c r="D26" s="255"/>
      <c r="E26" s="103"/>
    </row>
    <row r="27" spans="1:5" s="51" customFormat="1" ht="12" customHeight="1">
      <c r="A27" s="197" t="s">
        <v>112</v>
      </c>
      <c r="B27" s="180" t="s">
        <v>175</v>
      </c>
      <c r="C27" s="167">
        <v>2840403</v>
      </c>
      <c r="D27" s="255">
        <v>43232733</v>
      </c>
      <c r="E27" s="103">
        <v>51470821</v>
      </c>
    </row>
    <row r="28" spans="1:5" s="51" customFormat="1" ht="12" customHeight="1" thickBot="1">
      <c r="A28" s="198" t="s">
        <v>113</v>
      </c>
      <c r="B28" s="181" t="s">
        <v>176</v>
      </c>
      <c r="C28" s="169"/>
      <c r="D28" s="256"/>
      <c r="E28" s="105"/>
    </row>
    <row r="29" spans="1:5" s="51" customFormat="1" ht="12" customHeight="1" thickBot="1">
      <c r="A29" s="25" t="s">
        <v>114</v>
      </c>
      <c r="B29" s="19" t="s">
        <v>487</v>
      </c>
      <c r="C29" s="172">
        <f>SUM(C30:C36)</f>
        <v>52320000</v>
      </c>
      <c r="D29" s="172">
        <f>SUM(D30:D36)</f>
        <v>53230155</v>
      </c>
      <c r="E29" s="208">
        <f>SUM(E30:E36)</f>
        <v>58430424</v>
      </c>
    </row>
    <row r="30" spans="1:5" s="51" customFormat="1" ht="12" customHeight="1">
      <c r="A30" s="196" t="s">
        <v>177</v>
      </c>
      <c r="B30" s="179" t="s">
        <v>899</v>
      </c>
      <c r="C30" s="168">
        <v>13800000</v>
      </c>
      <c r="D30" s="168">
        <v>13800000</v>
      </c>
      <c r="E30" s="104">
        <v>11287289</v>
      </c>
    </row>
    <row r="31" spans="1:5" s="51" customFormat="1" ht="12" customHeight="1">
      <c r="A31" s="197" t="s">
        <v>178</v>
      </c>
      <c r="B31" s="180" t="s">
        <v>489</v>
      </c>
      <c r="C31" s="167"/>
      <c r="D31" s="167"/>
      <c r="E31" s="103"/>
    </row>
    <row r="32" spans="1:5" s="51" customFormat="1" ht="12" customHeight="1">
      <c r="A32" s="197" t="s">
        <v>179</v>
      </c>
      <c r="B32" s="180" t="s">
        <v>490</v>
      </c>
      <c r="C32" s="167">
        <v>29300000</v>
      </c>
      <c r="D32" s="167">
        <v>29705353</v>
      </c>
      <c r="E32" s="103">
        <v>38556174</v>
      </c>
    </row>
    <row r="33" spans="1:5" s="51" customFormat="1" ht="12" customHeight="1">
      <c r="A33" s="197" t="s">
        <v>180</v>
      </c>
      <c r="B33" s="180" t="s">
        <v>491</v>
      </c>
      <c r="C33" s="167">
        <v>650000</v>
      </c>
      <c r="D33" s="167">
        <v>650000</v>
      </c>
      <c r="E33" s="103"/>
    </row>
    <row r="34" spans="1:5" s="51" customFormat="1" ht="12" customHeight="1">
      <c r="A34" s="197" t="s">
        <v>492</v>
      </c>
      <c r="B34" s="180" t="s">
        <v>181</v>
      </c>
      <c r="C34" s="167">
        <v>7220000</v>
      </c>
      <c r="D34" s="167">
        <v>7724802</v>
      </c>
      <c r="E34" s="103">
        <v>7724802</v>
      </c>
    </row>
    <row r="35" spans="1:5" s="51" customFormat="1" ht="12" customHeight="1">
      <c r="A35" s="197" t="s">
        <v>493</v>
      </c>
      <c r="B35" s="180" t="s">
        <v>182</v>
      </c>
      <c r="C35" s="167"/>
      <c r="D35" s="167"/>
      <c r="E35" s="103"/>
    </row>
    <row r="36" spans="1:5" s="51" customFormat="1" ht="12" customHeight="1" thickBot="1">
      <c r="A36" s="198" t="s">
        <v>494</v>
      </c>
      <c r="B36" s="329" t="s">
        <v>183</v>
      </c>
      <c r="C36" s="169">
        <v>1350000</v>
      </c>
      <c r="D36" s="169">
        <v>1350000</v>
      </c>
      <c r="E36" s="105">
        <v>862159</v>
      </c>
    </row>
    <row r="37" spans="1:5" s="51" customFormat="1" ht="12" customHeight="1" thickBot="1">
      <c r="A37" s="25" t="s">
        <v>10</v>
      </c>
      <c r="B37" s="19" t="s">
        <v>338</v>
      </c>
      <c r="C37" s="166">
        <f>SUM(C38:C48)</f>
        <v>44771418</v>
      </c>
      <c r="D37" s="253">
        <f>SUM(D38:D48)</f>
        <v>63487592</v>
      </c>
      <c r="E37" s="102">
        <f>SUM(E38:E48)</f>
        <v>65058634</v>
      </c>
    </row>
    <row r="38" spans="1:5" s="51" customFormat="1" ht="12" customHeight="1">
      <c r="A38" s="196" t="s">
        <v>57</v>
      </c>
      <c r="B38" s="179" t="s">
        <v>186</v>
      </c>
      <c r="C38" s="168">
        <v>10000</v>
      </c>
      <c r="D38" s="254">
        <v>3848986</v>
      </c>
      <c r="E38" s="104">
        <v>3976439</v>
      </c>
    </row>
    <row r="39" spans="1:5" s="51" customFormat="1" ht="12" customHeight="1">
      <c r="A39" s="197" t="s">
        <v>58</v>
      </c>
      <c r="B39" s="180" t="s">
        <v>187</v>
      </c>
      <c r="C39" s="167">
        <v>7137341</v>
      </c>
      <c r="D39" s="255">
        <v>14498276</v>
      </c>
      <c r="E39" s="103">
        <v>15821418</v>
      </c>
    </row>
    <row r="40" spans="1:5" s="51" customFormat="1" ht="12" customHeight="1">
      <c r="A40" s="197" t="s">
        <v>59</v>
      </c>
      <c r="B40" s="180" t="s">
        <v>188</v>
      </c>
      <c r="C40" s="167"/>
      <c r="D40" s="255">
        <v>540043</v>
      </c>
      <c r="E40" s="103">
        <v>540043</v>
      </c>
    </row>
    <row r="41" spans="1:5" s="51" customFormat="1" ht="12" customHeight="1">
      <c r="A41" s="197" t="s">
        <v>116</v>
      </c>
      <c r="B41" s="180" t="s">
        <v>189</v>
      </c>
      <c r="C41" s="167"/>
      <c r="D41" s="255"/>
      <c r="E41" s="103"/>
    </row>
    <row r="42" spans="1:5" s="51" customFormat="1" ht="12" customHeight="1">
      <c r="A42" s="197" t="s">
        <v>117</v>
      </c>
      <c r="B42" s="180" t="s">
        <v>190</v>
      </c>
      <c r="C42" s="167">
        <v>25390290</v>
      </c>
      <c r="D42" s="255">
        <v>25496941</v>
      </c>
      <c r="E42" s="103">
        <v>14933005</v>
      </c>
    </row>
    <row r="43" spans="1:5" s="51" customFormat="1" ht="12" customHeight="1">
      <c r="A43" s="197" t="s">
        <v>118</v>
      </c>
      <c r="B43" s="180" t="s">
        <v>191</v>
      </c>
      <c r="C43" s="167">
        <v>8733787</v>
      </c>
      <c r="D43" s="255">
        <v>10161076</v>
      </c>
      <c r="E43" s="103">
        <v>11060047</v>
      </c>
    </row>
    <row r="44" spans="1:5" s="51" customFormat="1" ht="12" customHeight="1">
      <c r="A44" s="197" t="s">
        <v>119</v>
      </c>
      <c r="B44" s="180" t="s">
        <v>192</v>
      </c>
      <c r="C44" s="167"/>
      <c r="D44" s="255"/>
      <c r="E44" s="103"/>
    </row>
    <row r="45" spans="1:5" s="51" customFormat="1" ht="12" customHeight="1">
      <c r="A45" s="197" t="s">
        <v>120</v>
      </c>
      <c r="B45" s="180" t="s">
        <v>495</v>
      </c>
      <c r="C45" s="167"/>
      <c r="D45" s="255">
        <v>233719</v>
      </c>
      <c r="E45" s="103">
        <v>2441887</v>
      </c>
    </row>
    <row r="46" spans="1:5" s="51" customFormat="1" ht="12" customHeight="1">
      <c r="A46" s="197" t="s">
        <v>184</v>
      </c>
      <c r="B46" s="180" t="s">
        <v>194</v>
      </c>
      <c r="C46" s="170"/>
      <c r="D46" s="314"/>
      <c r="E46" s="106"/>
    </row>
    <row r="47" spans="1:5" s="51" customFormat="1" ht="12" customHeight="1">
      <c r="A47" s="198" t="s">
        <v>185</v>
      </c>
      <c r="B47" s="181" t="s">
        <v>340</v>
      </c>
      <c r="C47" s="171"/>
      <c r="D47" s="315"/>
      <c r="E47" s="107"/>
    </row>
    <row r="48" spans="1:5" s="51" customFormat="1" ht="12" customHeight="1" thickBot="1">
      <c r="A48" s="198" t="s">
        <v>339</v>
      </c>
      <c r="B48" s="181" t="s">
        <v>195</v>
      </c>
      <c r="C48" s="171">
        <v>3500000</v>
      </c>
      <c r="D48" s="315">
        <v>8708551</v>
      </c>
      <c r="E48" s="107">
        <v>16285795</v>
      </c>
    </row>
    <row r="49" spans="1:5" s="51" customFormat="1" ht="12" customHeight="1" thickBot="1">
      <c r="A49" s="25" t="s">
        <v>11</v>
      </c>
      <c r="B49" s="19" t="s">
        <v>196</v>
      </c>
      <c r="C49" s="166">
        <f>SUM(C50:C54)</f>
        <v>23494885</v>
      </c>
      <c r="D49" s="253">
        <f>SUM(D50:D54)</f>
        <v>23494885</v>
      </c>
      <c r="E49" s="102">
        <f>SUM(E50:E54)</f>
        <v>0</v>
      </c>
    </row>
    <row r="50" spans="1:5" s="51" customFormat="1" ht="12" customHeight="1">
      <c r="A50" s="196" t="s">
        <v>60</v>
      </c>
      <c r="B50" s="179" t="s">
        <v>200</v>
      </c>
      <c r="C50" s="219"/>
      <c r="D50" s="316"/>
      <c r="E50" s="108"/>
    </row>
    <row r="51" spans="1:5" s="51" customFormat="1" ht="12" customHeight="1">
      <c r="A51" s="197" t="s">
        <v>61</v>
      </c>
      <c r="B51" s="180" t="s">
        <v>201</v>
      </c>
      <c r="C51" s="170">
        <v>23494885</v>
      </c>
      <c r="D51" s="314">
        <v>23494885</v>
      </c>
      <c r="E51" s="106"/>
    </row>
    <row r="52" spans="1:5" s="51" customFormat="1" ht="12" customHeight="1">
      <c r="A52" s="197" t="s">
        <v>197</v>
      </c>
      <c r="B52" s="180" t="s">
        <v>202</v>
      </c>
      <c r="C52" s="170"/>
      <c r="D52" s="314"/>
      <c r="E52" s="106"/>
    </row>
    <row r="53" spans="1:5" s="51" customFormat="1" ht="12" customHeight="1">
      <c r="A53" s="197" t="s">
        <v>198</v>
      </c>
      <c r="B53" s="180" t="s">
        <v>203</v>
      </c>
      <c r="C53" s="170"/>
      <c r="D53" s="314"/>
      <c r="E53" s="106"/>
    </row>
    <row r="54" spans="1:5" s="51" customFormat="1" ht="12" customHeight="1" thickBot="1">
      <c r="A54" s="198" t="s">
        <v>199</v>
      </c>
      <c r="B54" s="181" t="s">
        <v>204</v>
      </c>
      <c r="C54" s="171"/>
      <c r="D54" s="315"/>
      <c r="E54" s="107"/>
    </row>
    <row r="55" spans="1:5" s="51" customFormat="1" ht="12" customHeight="1" thickBot="1">
      <c r="A55" s="25" t="s">
        <v>121</v>
      </c>
      <c r="B55" s="19" t="s">
        <v>205</v>
      </c>
      <c r="C55" s="166">
        <f>SUM(C56:C58)</f>
        <v>0</v>
      </c>
      <c r="D55" s="253">
        <f>SUM(D56:D58)</f>
        <v>2227930</v>
      </c>
      <c r="E55" s="102">
        <f>SUM(E56:E58)</f>
        <v>9926388</v>
      </c>
    </row>
    <row r="56" spans="1:5" s="51" customFormat="1" ht="12" customHeight="1">
      <c r="A56" s="196" t="s">
        <v>62</v>
      </c>
      <c r="B56" s="179" t="s">
        <v>206</v>
      </c>
      <c r="C56" s="168"/>
      <c r="D56" s="254"/>
      <c r="E56" s="104"/>
    </row>
    <row r="57" spans="1:5" s="51" customFormat="1" ht="12" customHeight="1">
      <c r="A57" s="197" t="s">
        <v>63</v>
      </c>
      <c r="B57" s="180" t="s">
        <v>332</v>
      </c>
      <c r="C57" s="167"/>
      <c r="D57" s="255">
        <v>2007930</v>
      </c>
      <c r="E57" s="103">
        <v>2109155</v>
      </c>
    </row>
    <row r="58" spans="1:5" s="51" customFormat="1" ht="12" customHeight="1">
      <c r="A58" s="197" t="s">
        <v>209</v>
      </c>
      <c r="B58" s="180" t="s">
        <v>207</v>
      </c>
      <c r="C58" s="167"/>
      <c r="D58" s="255">
        <v>220000</v>
      </c>
      <c r="E58" s="103">
        <v>7817233</v>
      </c>
    </row>
    <row r="59" spans="1:5" s="51" customFormat="1" ht="12" customHeight="1" thickBot="1">
      <c r="A59" s="198" t="s">
        <v>210</v>
      </c>
      <c r="B59" s="181" t="s">
        <v>208</v>
      </c>
      <c r="C59" s="169"/>
      <c r="D59" s="256"/>
      <c r="E59" s="105"/>
    </row>
    <row r="60" spans="1:5" s="51" customFormat="1" ht="12" customHeight="1" thickBot="1">
      <c r="A60" s="25" t="s">
        <v>13</v>
      </c>
      <c r="B60" s="109" t="s">
        <v>211</v>
      </c>
      <c r="C60" s="166">
        <f>SUM(C61:C63)</f>
        <v>0</v>
      </c>
      <c r="D60" s="253">
        <f>SUM(D61:D63)</f>
        <v>0</v>
      </c>
      <c r="E60" s="102">
        <f>SUM(E61:E63)</f>
        <v>3752010</v>
      </c>
    </row>
    <row r="61" spans="1:5" s="51" customFormat="1" ht="12" customHeight="1">
      <c r="A61" s="196" t="s">
        <v>122</v>
      </c>
      <c r="B61" s="179" t="s">
        <v>213</v>
      </c>
      <c r="C61" s="170"/>
      <c r="D61" s="314"/>
      <c r="E61" s="106"/>
    </row>
    <row r="62" spans="1:5" s="51" customFormat="1" ht="12" customHeight="1">
      <c r="A62" s="197" t="s">
        <v>123</v>
      </c>
      <c r="B62" s="180" t="s">
        <v>333</v>
      </c>
      <c r="C62" s="170"/>
      <c r="D62" s="314"/>
      <c r="E62" s="106"/>
    </row>
    <row r="63" spans="1:5" s="51" customFormat="1" ht="12" customHeight="1">
      <c r="A63" s="197" t="s">
        <v>146</v>
      </c>
      <c r="B63" s="180" t="s">
        <v>214</v>
      </c>
      <c r="C63" s="170"/>
      <c r="D63" s="314"/>
      <c r="E63" s="106">
        <v>3752010</v>
      </c>
    </row>
    <row r="64" spans="1:5" s="51" customFormat="1" ht="12" customHeight="1" thickBot="1">
      <c r="A64" s="198" t="s">
        <v>212</v>
      </c>
      <c r="B64" s="181" t="s">
        <v>215</v>
      </c>
      <c r="C64" s="170"/>
      <c r="D64" s="314"/>
      <c r="E64" s="106"/>
    </row>
    <row r="65" spans="1:5" s="51" customFormat="1" ht="12" customHeight="1" thickBot="1">
      <c r="A65" s="25" t="s">
        <v>14</v>
      </c>
      <c r="B65" s="19" t="s">
        <v>216</v>
      </c>
      <c r="C65" s="172">
        <f>+C8+C15+C22+C29+C37+C49+C55+C60</f>
        <v>536535346</v>
      </c>
      <c r="D65" s="257">
        <f>+D8+D15+D22+D29+D37+D49+D55+D60</f>
        <v>618111990</v>
      </c>
      <c r="E65" s="208">
        <f>+E8+E15+E22+E29+E37+E49+E55+E60</f>
        <v>670082864</v>
      </c>
    </row>
    <row r="66" spans="1:5" s="51" customFormat="1" ht="12" customHeight="1" thickBot="1">
      <c r="A66" s="199" t="s">
        <v>301</v>
      </c>
      <c r="B66" s="109" t="s">
        <v>218</v>
      </c>
      <c r="C66" s="166">
        <f>SUM(C67:C69)</f>
        <v>0</v>
      </c>
      <c r="D66" s="253">
        <f>SUM(D67:D69)</f>
        <v>0</v>
      </c>
      <c r="E66" s="102">
        <f>SUM(E67:E69)</f>
        <v>0</v>
      </c>
    </row>
    <row r="67" spans="1:5" s="51" customFormat="1" ht="12" customHeight="1">
      <c r="A67" s="196" t="s">
        <v>246</v>
      </c>
      <c r="B67" s="179" t="s">
        <v>219</v>
      </c>
      <c r="C67" s="170"/>
      <c r="D67" s="314"/>
      <c r="E67" s="106"/>
    </row>
    <row r="68" spans="1:5" s="51" customFormat="1" ht="12" customHeight="1">
      <c r="A68" s="197" t="s">
        <v>255</v>
      </c>
      <c r="B68" s="180" t="s">
        <v>220</v>
      </c>
      <c r="C68" s="170"/>
      <c r="D68" s="314"/>
      <c r="E68" s="106"/>
    </row>
    <row r="69" spans="1:5" s="51" customFormat="1" ht="12" customHeight="1" thickBot="1">
      <c r="A69" s="206" t="s">
        <v>256</v>
      </c>
      <c r="B69" s="384" t="s">
        <v>365</v>
      </c>
      <c r="C69" s="385"/>
      <c r="D69" s="317"/>
      <c r="E69" s="386"/>
    </row>
    <row r="70" spans="1:5" s="51" customFormat="1" ht="12" customHeight="1" thickBot="1">
      <c r="A70" s="199" t="s">
        <v>222</v>
      </c>
      <c r="B70" s="109" t="s">
        <v>223</v>
      </c>
      <c r="C70" s="166">
        <f>SUM(C71:C74)</f>
        <v>0</v>
      </c>
      <c r="D70" s="166">
        <f>SUM(D71:D74)</f>
        <v>0</v>
      </c>
      <c r="E70" s="102">
        <f>SUM(E71:E74)</f>
        <v>0</v>
      </c>
    </row>
    <row r="71" spans="1:5" s="51" customFormat="1" ht="12" customHeight="1">
      <c r="A71" s="196" t="s">
        <v>100</v>
      </c>
      <c r="B71" s="367" t="s">
        <v>224</v>
      </c>
      <c r="C71" s="170"/>
      <c r="D71" s="170"/>
      <c r="E71" s="106"/>
    </row>
    <row r="72" spans="1:5" s="51" customFormat="1" ht="12" customHeight="1">
      <c r="A72" s="197" t="s">
        <v>101</v>
      </c>
      <c r="B72" s="367" t="s">
        <v>502</v>
      </c>
      <c r="C72" s="170"/>
      <c r="D72" s="170"/>
      <c r="E72" s="106"/>
    </row>
    <row r="73" spans="1:5" s="51" customFormat="1" ht="12" customHeight="1">
      <c r="A73" s="197" t="s">
        <v>247</v>
      </c>
      <c r="B73" s="367" t="s">
        <v>225</v>
      </c>
      <c r="C73" s="170"/>
      <c r="D73" s="170"/>
      <c r="E73" s="106"/>
    </row>
    <row r="74" spans="1:5" s="51" customFormat="1" ht="12" customHeight="1" thickBot="1">
      <c r="A74" s="198" t="s">
        <v>248</v>
      </c>
      <c r="B74" s="368" t="s">
        <v>503</v>
      </c>
      <c r="C74" s="170"/>
      <c r="D74" s="170"/>
      <c r="E74" s="106"/>
    </row>
    <row r="75" spans="1:5" s="51" customFormat="1" ht="12" customHeight="1" thickBot="1">
      <c r="A75" s="199" t="s">
        <v>226</v>
      </c>
      <c r="B75" s="109" t="s">
        <v>227</v>
      </c>
      <c r="C75" s="166">
        <f>SUM(C76:C77)</f>
        <v>0</v>
      </c>
      <c r="D75" s="166">
        <f>SUM(D76:D77)</f>
        <v>261853286</v>
      </c>
      <c r="E75" s="102">
        <f>SUM(E76:E77)</f>
        <v>794759738</v>
      </c>
    </row>
    <row r="76" spans="1:5" s="51" customFormat="1" ht="12" customHeight="1">
      <c r="A76" s="196" t="s">
        <v>249</v>
      </c>
      <c r="B76" s="179" t="s">
        <v>228</v>
      </c>
      <c r="C76" s="170"/>
      <c r="D76" s="170">
        <v>261853286</v>
      </c>
      <c r="E76" s="106">
        <v>494759738</v>
      </c>
    </row>
    <row r="77" spans="1:5" s="51" customFormat="1" ht="12" customHeight="1" thickBot="1">
      <c r="A77" s="198" t="s">
        <v>250</v>
      </c>
      <c r="B77" s="181" t="s">
        <v>504</v>
      </c>
      <c r="C77" s="170"/>
      <c r="D77" s="170"/>
      <c r="E77" s="106">
        <v>300000000</v>
      </c>
    </row>
    <row r="78" spans="1:5" s="50" customFormat="1" ht="12" customHeight="1" thickBot="1">
      <c r="A78" s="199" t="s">
        <v>230</v>
      </c>
      <c r="B78" s="109" t="s">
        <v>231</v>
      </c>
      <c r="C78" s="166">
        <f>SUM(C79:C81)</f>
        <v>157271416</v>
      </c>
      <c r="D78" s="166">
        <f>SUM(D79:D81)</f>
        <v>166008794</v>
      </c>
      <c r="E78" s="102">
        <f>SUM(E79:E81)</f>
        <v>173324365</v>
      </c>
    </row>
    <row r="79" spans="1:5" s="51" customFormat="1" ht="12" customHeight="1">
      <c r="A79" s="196" t="s">
        <v>251</v>
      </c>
      <c r="B79" s="179" t="s">
        <v>232</v>
      </c>
      <c r="C79" s="170"/>
      <c r="D79" s="170"/>
      <c r="E79" s="106">
        <v>9902825</v>
      </c>
    </row>
    <row r="80" spans="1:5" s="51" customFormat="1" ht="12" customHeight="1">
      <c r="A80" s="197" t="s">
        <v>252</v>
      </c>
      <c r="B80" s="180" t="s">
        <v>233</v>
      </c>
      <c r="C80" s="170"/>
      <c r="D80" s="170"/>
      <c r="E80" s="106"/>
    </row>
    <row r="81" spans="1:5" s="51" customFormat="1" ht="12" customHeight="1" thickBot="1">
      <c r="A81" s="198" t="s">
        <v>253</v>
      </c>
      <c r="B81" s="181" t="s">
        <v>900</v>
      </c>
      <c r="C81" s="170">
        <v>157271416</v>
      </c>
      <c r="D81" s="170">
        <v>166008794</v>
      </c>
      <c r="E81" s="106">
        <v>163421540</v>
      </c>
    </row>
    <row r="82" spans="1:5" s="51" customFormat="1" ht="12" customHeight="1" thickBot="1">
      <c r="A82" s="199" t="s">
        <v>234</v>
      </c>
      <c r="B82" s="109" t="s">
        <v>254</v>
      </c>
      <c r="C82" s="166">
        <f>SUM(C83:C86)</f>
        <v>0</v>
      </c>
      <c r="D82" s="166">
        <f>SUM(D83:D86)</f>
        <v>0</v>
      </c>
      <c r="E82" s="102">
        <f>SUM(E83:E86)</f>
        <v>0</v>
      </c>
    </row>
    <row r="83" spans="1:5" s="51" customFormat="1" ht="12" customHeight="1">
      <c r="A83" s="200" t="s">
        <v>235</v>
      </c>
      <c r="B83" s="179" t="s">
        <v>236</v>
      </c>
      <c r="C83" s="170"/>
      <c r="D83" s="170"/>
      <c r="E83" s="106"/>
    </row>
    <row r="84" spans="1:5" s="51" customFormat="1" ht="12" customHeight="1">
      <c r="A84" s="201" t="s">
        <v>237</v>
      </c>
      <c r="B84" s="180" t="s">
        <v>238</v>
      </c>
      <c r="C84" s="170"/>
      <c r="D84" s="170"/>
      <c r="E84" s="106"/>
    </row>
    <row r="85" spans="1:5" s="51" customFormat="1" ht="12" customHeight="1">
      <c r="A85" s="201" t="s">
        <v>239</v>
      </c>
      <c r="B85" s="180" t="s">
        <v>240</v>
      </c>
      <c r="C85" s="170"/>
      <c r="D85" s="170"/>
      <c r="E85" s="106"/>
    </row>
    <row r="86" spans="1:5" s="50" customFormat="1" ht="12" customHeight="1" thickBot="1">
      <c r="A86" s="202" t="s">
        <v>241</v>
      </c>
      <c r="B86" s="181" t="s">
        <v>242</v>
      </c>
      <c r="C86" s="170"/>
      <c r="D86" s="170"/>
      <c r="E86" s="106"/>
    </row>
    <row r="87" spans="1:5" s="50" customFormat="1" ht="12" customHeight="1" thickBot="1">
      <c r="A87" s="199" t="s">
        <v>243</v>
      </c>
      <c r="B87" s="109" t="s">
        <v>379</v>
      </c>
      <c r="C87" s="222"/>
      <c r="D87" s="222"/>
      <c r="E87" s="223"/>
    </row>
    <row r="88" spans="1:5" s="50" customFormat="1" ht="12" customHeight="1" thickBot="1">
      <c r="A88" s="199" t="s">
        <v>397</v>
      </c>
      <c r="B88" s="109" t="s">
        <v>244</v>
      </c>
      <c r="C88" s="222"/>
      <c r="D88" s="222"/>
      <c r="E88" s="223"/>
    </row>
    <row r="89" spans="1:5" s="50" customFormat="1" ht="12" customHeight="1" thickBot="1">
      <c r="A89" s="199" t="s">
        <v>398</v>
      </c>
      <c r="B89" s="186" t="s">
        <v>382</v>
      </c>
      <c r="C89" s="172">
        <f>+C66+C70+C75+C78+C82+C88+C87</f>
        <v>157271416</v>
      </c>
      <c r="D89" s="172">
        <f>+D66+D70+D75+D78+D82+D88+D87</f>
        <v>427862080</v>
      </c>
      <c r="E89" s="208">
        <f>+E66+E70+E75+E78+E82+E88+E87</f>
        <v>968084103</v>
      </c>
    </row>
    <row r="90" spans="1:5" s="50" customFormat="1" ht="12" customHeight="1" thickBot="1">
      <c r="A90" s="203" t="s">
        <v>399</v>
      </c>
      <c r="B90" s="187" t="s">
        <v>400</v>
      </c>
      <c r="C90" s="172">
        <f>+C65+C89</f>
        <v>693806762</v>
      </c>
      <c r="D90" s="172">
        <f>+D65+D89</f>
        <v>1045974070</v>
      </c>
      <c r="E90" s="208">
        <f>+E65+E89</f>
        <v>1638166967</v>
      </c>
    </row>
    <row r="91" spans="1:3" s="51" customFormat="1" ht="15" customHeight="1" thickBot="1">
      <c r="A91" s="86"/>
      <c r="B91" s="87"/>
      <c r="C91" s="148"/>
    </row>
    <row r="92" spans="1:5" s="44" customFormat="1" ht="16.5" customHeight="1" thickBot="1">
      <c r="A92" s="849" t="s">
        <v>41</v>
      </c>
      <c r="B92" s="850"/>
      <c r="C92" s="850"/>
      <c r="D92" s="850"/>
      <c r="E92" s="851"/>
    </row>
    <row r="93" spans="1:5" s="52" customFormat="1" ht="12" customHeight="1" thickBot="1">
      <c r="A93" s="173" t="s">
        <v>6</v>
      </c>
      <c r="B93" s="24" t="s">
        <v>404</v>
      </c>
      <c r="C93" s="165">
        <f>+C94+C95+C96+C97+C98+C111</f>
        <v>510200058</v>
      </c>
      <c r="D93" s="165">
        <f>+D94+D95+D96+D97+D98+D111</f>
        <v>655690373</v>
      </c>
      <c r="E93" s="236">
        <f>+E94+E95+E96+E97+E98+E111</f>
        <v>574568357</v>
      </c>
    </row>
    <row r="94" spans="1:5" ht="12" customHeight="1">
      <c r="A94" s="204" t="s">
        <v>64</v>
      </c>
      <c r="B94" s="8" t="s">
        <v>35</v>
      </c>
      <c r="C94" s="243">
        <v>251197093</v>
      </c>
      <c r="D94" s="243">
        <v>279668543</v>
      </c>
      <c r="E94" s="237">
        <v>276268852</v>
      </c>
    </row>
    <row r="95" spans="1:5" ht="12" customHeight="1">
      <c r="A95" s="197" t="s">
        <v>65</v>
      </c>
      <c r="B95" s="6" t="s">
        <v>124</v>
      </c>
      <c r="C95" s="167">
        <v>39563486</v>
      </c>
      <c r="D95" s="167">
        <v>53369340</v>
      </c>
      <c r="E95" s="103">
        <v>45547802</v>
      </c>
    </row>
    <row r="96" spans="1:5" ht="12" customHeight="1">
      <c r="A96" s="197" t="s">
        <v>66</v>
      </c>
      <c r="B96" s="6" t="s">
        <v>92</v>
      </c>
      <c r="C96" s="169">
        <v>167393915</v>
      </c>
      <c r="D96" s="167">
        <v>255004533</v>
      </c>
      <c r="E96" s="105">
        <v>199906355</v>
      </c>
    </row>
    <row r="97" spans="1:5" ht="12" customHeight="1">
      <c r="A97" s="197" t="s">
        <v>67</v>
      </c>
      <c r="B97" s="9" t="s">
        <v>125</v>
      </c>
      <c r="C97" s="169">
        <v>31641000</v>
      </c>
      <c r="D97" s="256">
        <v>45650312</v>
      </c>
      <c r="E97" s="105">
        <v>32220008</v>
      </c>
    </row>
    <row r="98" spans="1:5" ht="12" customHeight="1">
      <c r="A98" s="197" t="s">
        <v>76</v>
      </c>
      <c r="B98" s="17" t="s">
        <v>126</v>
      </c>
      <c r="C98" s="169">
        <f>SUM(C99:C110)</f>
        <v>20404564</v>
      </c>
      <c r="D98" s="169">
        <f>SUM(D99:D110)</f>
        <v>21997645</v>
      </c>
      <c r="E98" s="169">
        <f>SUM(E99:E110)</f>
        <v>20625340</v>
      </c>
    </row>
    <row r="99" spans="1:5" ht="12" customHeight="1">
      <c r="A99" s="197" t="s">
        <v>68</v>
      </c>
      <c r="B99" s="6" t="s">
        <v>401</v>
      </c>
      <c r="C99" s="169"/>
      <c r="D99" s="256">
        <v>933081</v>
      </c>
      <c r="E99" s="105">
        <v>933081</v>
      </c>
    </row>
    <row r="100" spans="1:5" ht="12" customHeight="1">
      <c r="A100" s="197" t="s">
        <v>69</v>
      </c>
      <c r="B100" s="62" t="s">
        <v>345</v>
      </c>
      <c r="C100" s="169"/>
      <c r="D100" s="256"/>
      <c r="E100" s="105"/>
    </row>
    <row r="101" spans="1:5" ht="12" customHeight="1">
      <c r="A101" s="197" t="s">
        <v>77</v>
      </c>
      <c r="B101" s="62" t="s">
        <v>344</v>
      </c>
      <c r="C101" s="169"/>
      <c r="D101" s="256"/>
      <c r="E101" s="105"/>
    </row>
    <row r="102" spans="1:5" ht="12" customHeight="1">
      <c r="A102" s="197" t="s">
        <v>78</v>
      </c>
      <c r="B102" s="62" t="s">
        <v>260</v>
      </c>
      <c r="C102" s="169"/>
      <c r="D102" s="256"/>
      <c r="E102" s="105"/>
    </row>
    <row r="103" spans="1:5" ht="12" customHeight="1">
      <c r="A103" s="197" t="s">
        <v>79</v>
      </c>
      <c r="B103" s="63" t="s">
        <v>261</v>
      </c>
      <c r="C103" s="169"/>
      <c r="D103" s="256"/>
      <c r="E103" s="105"/>
    </row>
    <row r="104" spans="1:5" ht="12" customHeight="1">
      <c r="A104" s="197" t="s">
        <v>80</v>
      </c>
      <c r="B104" s="63" t="s">
        <v>262</v>
      </c>
      <c r="C104" s="169"/>
      <c r="D104" s="256"/>
      <c r="E104" s="105"/>
    </row>
    <row r="105" spans="1:5" ht="12" customHeight="1">
      <c r="A105" s="197" t="s">
        <v>82</v>
      </c>
      <c r="B105" s="62" t="s">
        <v>263</v>
      </c>
      <c r="C105" s="169">
        <v>19404564</v>
      </c>
      <c r="D105" s="256">
        <v>1162305</v>
      </c>
      <c r="E105" s="105"/>
    </row>
    <row r="106" spans="1:5" ht="12" customHeight="1">
      <c r="A106" s="197" t="s">
        <v>127</v>
      </c>
      <c r="B106" s="62" t="s">
        <v>264</v>
      </c>
      <c r="C106" s="169"/>
      <c r="D106" s="256"/>
      <c r="E106" s="105"/>
    </row>
    <row r="107" spans="1:5" ht="12" customHeight="1">
      <c r="A107" s="197" t="s">
        <v>258</v>
      </c>
      <c r="B107" s="63" t="s">
        <v>265</v>
      </c>
      <c r="C107" s="167"/>
      <c r="D107" s="256">
        <v>5040000</v>
      </c>
      <c r="E107" s="105">
        <v>4830000</v>
      </c>
    </row>
    <row r="108" spans="1:5" ht="12" customHeight="1">
      <c r="A108" s="205" t="s">
        <v>259</v>
      </c>
      <c r="B108" s="64" t="s">
        <v>266</v>
      </c>
      <c r="C108" s="169"/>
      <c r="D108" s="256"/>
      <c r="E108" s="105"/>
    </row>
    <row r="109" spans="1:5" ht="12" customHeight="1">
      <c r="A109" s="197" t="s">
        <v>342</v>
      </c>
      <c r="B109" s="64" t="s">
        <v>267</v>
      </c>
      <c r="C109" s="169"/>
      <c r="D109" s="256"/>
      <c r="E109" s="105"/>
    </row>
    <row r="110" spans="1:5" ht="12" customHeight="1">
      <c r="A110" s="197" t="s">
        <v>343</v>
      </c>
      <c r="B110" s="63" t="s">
        <v>268</v>
      </c>
      <c r="C110" s="167">
        <v>1000000</v>
      </c>
      <c r="D110" s="255">
        <v>14862259</v>
      </c>
      <c r="E110" s="103">
        <v>14862259</v>
      </c>
    </row>
    <row r="111" spans="1:5" ht="12" customHeight="1">
      <c r="A111" s="197" t="s">
        <v>347</v>
      </c>
      <c r="B111" s="9" t="s">
        <v>36</v>
      </c>
      <c r="C111" s="167"/>
      <c r="D111" s="255"/>
      <c r="E111" s="103"/>
    </row>
    <row r="112" spans="1:5" ht="12" customHeight="1">
      <c r="A112" s="198" t="s">
        <v>348</v>
      </c>
      <c r="B112" s="6" t="s">
        <v>402</v>
      </c>
      <c r="C112" s="169"/>
      <c r="D112" s="256"/>
      <c r="E112" s="105"/>
    </row>
    <row r="113" spans="1:5" ht="12" customHeight="1" thickBot="1">
      <c r="A113" s="206" t="s">
        <v>349</v>
      </c>
      <c r="B113" s="65" t="s">
        <v>403</v>
      </c>
      <c r="C113" s="244"/>
      <c r="D113" s="320"/>
      <c r="E113" s="238"/>
    </row>
    <row r="114" spans="1:5" ht="12" customHeight="1" thickBot="1">
      <c r="A114" s="25" t="s">
        <v>7</v>
      </c>
      <c r="B114" s="23" t="s">
        <v>269</v>
      </c>
      <c r="C114" s="166">
        <f>+C115+C117+C119</f>
        <v>26335288</v>
      </c>
      <c r="D114" s="253">
        <f>+D115+D117+D119</f>
        <v>186668446</v>
      </c>
      <c r="E114" s="102">
        <f>+E115+E117+E119</f>
        <v>176300688</v>
      </c>
    </row>
    <row r="115" spans="1:5" ht="12" customHeight="1">
      <c r="A115" s="196" t="s">
        <v>70</v>
      </c>
      <c r="B115" s="6" t="s">
        <v>145</v>
      </c>
      <c r="C115" s="168">
        <v>21819354</v>
      </c>
      <c r="D115" s="254">
        <v>57892988</v>
      </c>
      <c r="E115" s="104">
        <v>54091064</v>
      </c>
    </row>
    <row r="116" spans="1:5" ht="12" customHeight="1">
      <c r="A116" s="196" t="s">
        <v>71</v>
      </c>
      <c r="B116" s="10" t="s">
        <v>273</v>
      </c>
      <c r="C116" s="168"/>
      <c r="D116" s="254"/>
      <c r="E116" s="104">
        <v>32745947</v>
      </c>
    </row>
    <row r="117" spans="1:5" ht="12" customHeight="1">
      <c r="A117" s="196" t="s">
        <v>72</v>
      </c>
      <c r="B117" s="10" t="s">
        <v>128</v>
      </c>
      <c r="C117" s="167">
        <v>1681000</v>
      </c>
      <c r="D117" s="255">
        <v>125940524</v>
      </c>
      <c r="E117" s="103">
        <v>122209624</v>
      </c>
    </row>
    <row r="118" spans="1:5" ht="12" customHeight="1">
      <c r="A118" s="196" t="s">
        <v>73</v>
      </c>
      <c r="B118" s="10" t="s">
        <v>274</v>
      </c>
      <c r="C118" s="167"/>
      <c r="D118" s="255"/>
      <c r="E118" s="103">
        <v>109270800</v>
      </c>
    </row>
    <row r="119" spans="1:5" ht="12" customHeight="1">
      <c r="A119" s="196" t="s">
        <v>74</v>
      </c>
      <c r="B119" s="111" t="s">
        <v>147</v>
      </c>
      <c r="C119" s="167">
        <v>2834934</v>
      </c>
      <c r="D119" s="255">
        <v>2834934</v>
      </c>
      <c r="E119" s="103"/>
    </row>
    <row r="120" spans="1:5" ht="12" customHeight="1">
      <c r="A120" s="196" t="s">
        <v>81</v>
      </c>
      <c r="B120" s="110" t="s">
        <v>334</v>
      </c>
      <c r="C120" s="167"/>
      <c r="D120" s="255"/>
      <c r="E120" s="103"/>
    </row>
    <row r="121" spans="1:5" ht="12" customHeight="1">
      <c r="A121" s="196" t="s">
        <v>83</v>
      </c>
      <c r="B121" s="175" t="s">
        <v>279</v>
      </c>
      <c r="C121" s="167"/>
      <c r="D121" s="255"/>
      <c r="E121" s="103"/>
    </row>
    <row r="122" spans="1:5" ht="12" customHeight="1">
      <c r="A122" s="196" t="s">
        <v>129</v>
      </c>
      <c r="B122" s="63" t="s">
        <v>262</v>
      </c>
      <c r="C122" s="167"/>
      <c r="D122" s="255"/>
      <c r="E122" s="103"/>
    </row>
    <row r="123" spans="1:5" ht="12" customHeight="1">
      <c r="A123" s="196" t="s">
        <v>130</v>
      </c>
      <c r="B123" s="63" t="s">
        <v>278</v>
      </c>
      <c r="C123" s="167"/>
      <c r="D123" s="255"/>
      <c r="E123" s="103"/>
    </row>
    <row r="124" spans="1:5" ht="12" customHeight="1">
      <c r="A124" s="196" t="s">
        <v>131</v>
      </c>
      <c r="B124" s="63" t="s">
        <v>277</v>
      </c>
      <c r="C124" s="167"/>
      <c r="D124" s="255"/>
      <c r="E124" s="103"/>
    </row>
    <row r="125" spans="1:5" ht="12" customHeight="1">
      <c r="A125" s="196" t="s">
        <v>270</v>
      </c>
      <c r="B125" s="63" t="s">
        <v>265</v>
      </c>
      <c r="C125" s="167"/>
      <c r="D125" s="255"/>
      <c r="E125" s="103"/>
    </row>
    <row r="126" spans="1:5" ht="12" customHeight="1">
      <c r="A126" s="196" t="s">
        <v>271</v>
      </c>
      <c r="B126" s="63" t="s">
        <v>276</v>
      </c>
      <c r="C126" s="167"/>
      <c r="D126" s="255"/>
      <c r="E126" s="103"/>
    </row>
    <row r="127" spans="1:5" ht="12" customHeight="1" thickBot="1">
      <c r="A127" s="205" t="s">
        <v>272</v>
      </c>
      <c r="B127" s="63" t="s">
        <v>275</v>
      </c>
      <c r="C127" s="169"/>
      <c r="D127" s="256"/>
      <c r="E127" s="105"/>
    </row>
    <row r="128" spans="1:5" ht="12" customHeight="1" thickBot="1">
      <c r="A128" s="25" t="s">
        <v>8</v>
      </c>
      <c r="B128" s="56" t="s">
        <v>352</v>
      </c>
      <c r="C128" s="166">
        <f>+C93+C114</f>
        <v>536535346</v>
      </c>
      <c r="D128" s="253">
        <f>+D93+D114</f>
        <v>842358819</v>
      </c>
      <c r="E128" s="102">
        <f>+E93+E114</f>
        <v>750869045</v>
      </c>
    </row>
    <row r="129" spans="1:5" ht="12" customHeight="1" thickBot="1">
      <c r="A129" s="25" t="s">
        <v>9</v>
      </c>
      <c r="B129" s="56" t="s">
        <v>353</v>
      </c>
      <c r="C129" s="166">
        <f>+C130+C131+C132</f>
        <v>0</v>
      </c>
      <c r="D129" s="253">
        <f>+D130+D131+D132</f>
        <v>0</v>
      </c>
      <c r="E129" s="102">
        <f>+E130+E131+E132</f>
        <v>0</v>
      </c>
    </row>
    <row r="130" spans="1:5" s="52" customFormat="1" ht="12" customHeight="1">
      <c r="A130" s="196" t="s">
        <v>177</v>
      </c>
      <c r="B130" s="7" t="s">
        <v>407</v>
      </c>
      <c r="C130" s="167"/>
      <c r="D130" s="255"/>
      <c r="E130" s="103"/>
    </row>
    <row r="131" spans="1:5" ht="12" customHeight="1">
      <c r="A131" s="196" t="s">
        <v>178</v>
      </c>
      <c r="B131" s="7" t="s">
        <v>361</v>
      </c>
      <c r="C131" s="167"/>
      <c r="D131" s="255"/>
      <c r="E131" s="103"/>
    </row>
    <row r="132" spans="1:5" ht="12" customHeight="1" thickBot="1">
      <c r="A132" s="205" t="s">
        <v>179</v>
      </c>
      <c r="B132" s="5" t="s">
        <v>406</v>
      </c>
      <c r="C132" s="167"/>
      <c r="D132" s="255"/>
      <c r="E132" s="103"/>
    </row>
    <row r="133" spans="1:5" ht="12" customHeight="1" thickBot="1">
      <c r="A133" s="25" t="s">
        <v>10</v>
      </c>
      <c r="B133" s="56" t="s">
        <v>354</v>
      </c>
      <c r="C133" s="166">
        <f>+C134+C135+C136+C137+C138+C139</f>
        <v>0</v>
      </c>
      <c r="D133" s="253">
        <f>+D134+D135+D136+D137+D138+D139</f>
        <v>0</v>
      </c>
      <c r="E133" s="102">
        <f>+E134+E135+E136+E137+E138+E139</f>
        <v>0</v>
      </c>
    </row>
    <row r="134" spans="1:5" ht="12" customHeight="1">
      <c r="A134" s="196" t="s">
        <v>57</v>
      </c>
      <c r="B134" s="7" t="s">
        <v>363</v>
      </c>
      <c r="C134" s="167"/>
      <c r="D134" s="255"/>
      <c r="E134" s="103"/>
    </row>
    <row r="135" spans="1:5" ht="12" customHeight="1">
      <c r="A135" s="196" t="s">
        <v>58</v>
      </c>
      <c r="B135" s="7" t="s">
        <v>355</v>
      </c>
      <c r="C135" s="167"/>
      <c r="D135" s="255"/>
      <c r="E135" s="103"/>
    </row>
    <row r="136" spans="1:5" ht="12" customHeight="1">
      <c r="A136" s="196" t="s">
        <v>59</v>
      </c>
      <c r="B136" s="7" t="s">
        <v>356</v>
      </c>
      <c r="C136" s="167"/>
      <c r="D136" s="255"/>
      <c r="E136" s="103"/>
    </row>
    <row r="137" spans="1:5" ht="12" customHeight="1">
      <c r="A137" s="196" t="s">
        <v>116</v>
      </c>
      <c r="B137" s="7" t="s">
        <v>405</v>
      </c>
      <c r="C137" s="167"/>
      <c r="D137" s="255"/>
      <c r="E137" s="103"/>
    </row>
    <row r="138" spans="1:5" ht="12" customHeight="1">
      <c r="A138" s="196" t="s">
        <v>117</v>
      </c>
      <c r="B138" s="7" t="s">
        <v>358</v>
      </c>
      <c r="C138" s="167"/>
      <c r="D138" s="255"/>
      <c r="E138" s="103"/>
    </row>
    <row r="139" spans="1:5" s="52" customFormat="1" ht="12" customHeight="1" thickBot="1">
      <c r="A139" s="205" t="s">
        <v>118</v>
      </c>
      <c r="B139" s="5" t="s">
        <v>359</v>
      </c>
      <c r="C139" s="167"/>
      <c r="D139" s="255"/>
      <c r="E139" s="103"/>
    </row>
    <row r="140" spans="1:11" ht="12" customHeight="1" thickBot="1">
      <c r="A140" s="25" t="s">
        <v>11</v>
      </c>
      <c r="B140" s="56" t="s">
        <v>420</v>
      </c>
      <c r="C140" s="172">
        <f>+C141+C142+C144+C145+C143</f>
        <v>157271416</v>
      </c>
      <c r="D140" s="257">
        <f>+D141+D142+D144+D145+D143</f>
        <v>203615251</v>
      </c>
      <c r="E140" s="208">
        <f>+E141+E142+E144+E145+E143</f>
        <v>501027997</v>
      </c>
      <c r="K140" s="95"/>
    </row>
    <row r="141" spans="1:5" ht="12.75">
      <c r="A141" s="196" t="s">
        <v>60</v>
      </c>
      <c r="B141" s="7" t="s">
        <v>280</v>
      </c>
      <c r="C141" s="167"/>
      <c r="D141" s="255"/>
      <c r="E141" s="103"/>
    </row>
    <row r="142" spans="1:5" ht="12" customHeight="1">
      <c r="A142" s="196" t="s">
        <v>61</v>
      </c>
      <c r="B142" s="7" t="s">
        <v>281</v>
      </c>
      <c r="C142" s="167"/>
      <c r="D142" s="255">
        <v>37606457</v>
      </c>
      <c r="E142" s="103">
        <v>37606457</v>
      </c>
    </row>
    <row r="143" spans="1:5" ht="12" customHeight="1">
      <c r="A143" s="196" t="s">
        <v>197</v>
      </c>
      <c r="B143" s="7" t="s">
        <v>419</v>
      </c>
      <c r="C143" s="167">
        <v>157271416</v>
      </c>
      <c r="D143" s="255">
        <v>166008794</v>
      </c>
      <c r="E143" s="103">
        <v>163421540</v>
      </c>
    </row>
    <row r="144" spans="1:5" s="52" customFormat="1" ht="12" customHeight="1">
      <c r="A144" s="196" t="s">
        <v>198</v>
      </c>
      <c r="B144" s="7" t="s">
        <v>368</v>
      </c>
      <c r="C144" s="167"/>
      <c r="D144" s="255"/>
      <c r="E144" s="103">
        <v>300000000</v>
      </c>
    </row>
    <row r="145" spans="1:5" s="52" customFormat="1" ht="12" customHeight="1" thickBot="1">
      <c r="A145" s="205" t="s">
        <v>199</v>
      </c>
      <c r="B145" s="5" t="s">
        <v>297</v>
      </c>
      <c r="C145" s="167"/>
      <c r="D145" s="255"/>
      <c r="E145" s="103"/>
    </row>
    <row r="146" spans="1:5" s="52" customFormat="1" ht="12" customHeight="1" thickBot="1">
      <c r="A146" s="25" t="s">
        <v>12</v>
      </c>
      <c r="B146" s="56" t="s">
        <v>369</v>
      </c>
      <c r="C146" s="246">
        <f>+C147+C148+C149+C150+C151</f>
        <v>0</v>
      </c>
      <c r="D146" s="258">
        <f>+D147+D148+D149+D150+D151</f>
        <v>0</v>
      </c>
      <c r="E146" s="240">
        <f>+E147+E148+E149+E150+E151</f>
        <v>0</v>
      </c>
    </row>
    <row r="147" spans="1:5" s="52" customFormat="1" ht="12" customHeight="1">
      <c r="A147" s="196" t="s">
        <v>62</v>
      </c>
      <c r="B147" s="7" t="s">
        <v>364</v>
      </c>
      <c r="C147" s="167"/>
      <c r="D147" s="255"/>
      <c r="E147" s="103"/>
    </row>
    <row r="148" spans="1:5" s="52" customFormat="1" ht="12" customHeight="1">
      <c r="A148" s="196" t="s">
        <v>63</v>
      </c>
      <c r="B148" s="7" t="s">
        <v>371</v>
      </c>
      <c r="C148" s="167"/>
      <c r="D148" s="255"/>
      <c r="E148" s="103"/>
    </row>
    <row r="149" spans="1:5" s="52" customFormat="1" ht="12" customHeight="1">
      <c r="A149" s="196" t="s">
        <v>209</v>
      </c>
      <c r="B149" s="7" t="s">
        <v>366</v>
      </c>
      <c r="C149" s="167"/>
      <c r="D149" s="255"/>
      <c r="E149" s="103"/>
    </row>
    <row r="150" spans="1:5" s="52" customFormat="1" ht="12" customHeight="1">
      <c r="A150" s="196" t="s">
        <v>210</v>
      </c>
      <c r="B150" s="7" t="s">
        <v>408</v>
      </c>
      <c r="C150" s="167"/>
      <c r="D150" s="255"/>
      <c r="E150" s="103"/>
    </row>
    <row r="151" spans="1:5" ht="12.75" customHeight="1" thickBot="1">
      <c r="A151" s="205" t="s">
        <v>370</v>
      </c>
      <c r="B151" s="5" t="s">
        <v>373</v>
      </c>
      <c r="C151" s="169"/>
      <c r="D151" s="256"/>
      <c r="E151" s="105"/>
    </row>
    <row r="152" spans="1:5" ht="12.75" customHeight="1" thickBot="1">
      <c r="A152" s="235" t="s">
        <v>13</v>
      </c>
      <c r="B152" s="56" t="s">
        <v>374</v>
      </c>
      <c r="C152" s="246"/>
      <c r="D152" s="258"/>
      <c r="E152" s="240"/>
    </row>
    <row r="153" spans="1:5" ht="12.75" customHeight="1" thickBot="1">
      <c r="A153" s="235" t="s">
        <v>14</v>
      </c>
      <c r="B153" s="56" t="s">
        <v>375</v>
      </c>
      <c r="C153" s="246"/>
      <c r="D153" s="258"/>
      <c r="E153" s="240"/>
    </row>
    <row r="154" spans="1:5" ht="12" customHeight="1" thickBot="1">
      <c r="A154" s="25" t="s">
        <v>15</v>
      </c>
      <c r="B154" s="56" t="s">
        <v>377</v>
      </c>
      <c r="C154" s="248">
        <f>+C129+C133+C140+C146+C152+C153</f>
        <v>157271416</v>
      </c>
      <c r="D154" s="260">
        <f>+D129+D133+D140+D146+D152+D153</f>
        <v>203615251</v>
      </c>
      <c r="E154" s="242">
        <f>+E129+E133+E140+E146+E152+E153</f>
        <v>501027997</v>
      </c>
    </row>
    <row r="155" spans="1:5" ht="15" customHeight="1" thickBot="1">
      <c r="A155" s="207" t="s">
        <v>16</v>
      </c>
      <c r="B155" s="153" t="s">
        <v>376</v>
      </c>
      <c r="C155" s="248">
        <f>+C128+C154</f>
        <v>693806762</v>
      </c>
      <c r="D155" s="260">
        <f>+D128+D154</f>
        <v>1045974070</v>
      </c>
      <c r="E155" s="242">
        <f>+E128+E154</f>
        <v>1251897042</v>
      </c>
    </row>
    <row r="156" spans="1:5" ht="13.5" thickBot="1">
      <c r="A156" s="156"/>
      <c r="B156" s="157"/>
      <c r="C156" s="724">
        <f>C90-C155</f>
        <v>0</v>
      </c>
      <c r="D156" s="724">
        <f>D90-D155</f>
        <v>0</v>
      </c>
      <c r="E156" s="158"/>
    </row>
    <row r="157" spans="1:5" ht="15" customHeight="1" thickBot="1">
      <c r="A157" s="93" t="s">
        <v>497</v>
      </c>
      <c r="B157" s="94"/>
      <c r="C157" s="319">
        <v>197</v>
      </c>
      <c r="D157" s="319">
        <v>197</v>
      </c>
      <c r="E157" s="318">
        <v>169</v>
      </c>
    </row>
    <row r="158" spans="1:5" ht="14.25" customHeight="1" thickBot="1">
      <c r="A158" s="93" t="s">
        <v>498</v>
      </c>
      <c r="B158" s="94"/>
      <c r="C158" s="319">
        <v>150</v>
      </c>
      <c r="D158" s="319">
        <v>150</v>
      </c>
      <c r="E158" s="318">
        <v>106</v>
      </c>
    </row>
  </sheetData>
  <sheetProtection formatCells="0"/>
  <mergeCells count="5">
    <mergeCell ref="A7:E7"/>
    <mergeCell ref="B2:D2"/>
    <mergeCell ref="B3:D3"/>
    <mergeCell ref="A92:E92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20" zoomScaleNormal="120" zoomScaleSheetLayoutView="100" workbookViewId="0" topLeftCell="A1">
      <selection activeCell="E159" sqref="E159"/>
    </sheetView>
  </sheetViews>
  <sheetFormatPr defaultColWidth="9.00390625" defaultRowHeight="12.75"/>
  <cols>
    <col min="1" max="1" width="16.125" style="159" customWidth="1"/>
    <col min="2" max="2" width="62.00390625" style="160" customWidth="1"/>
    <col min="3" max="3" width="14.125" style="161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87"/>
      <c r="B1" s="853" t="str">
        <f>CONCATENATE("6.1.1. melléklet ",Z_ALAPADATOK!A7," ",Z_ALAPADATOK!B7," ",Z_ALAPADATOK!C7," ",Z_ALAPADATOK!D7," ",Z_ALAPADATOK!E7," ",Z_ALAPADATOK!F7," ",Z_ALAPADATOK!G7," ",Z_ALAPADATOK!H7)</f>
        <v>6.1.1. melléklet a 2 / 2019. ( IV.26. ) önkormányzati rendelethez</v>
      </c>
      <c r="C1" s="854"/>
      <c r="D1" s="854"/>
      <c r="E1" s="854"/>
    </row>
    <row r="2" spans="1:5" s="48" customFormat="1" ht="21" customHeight="1" thickBot="1">
      <c r="A2" s="396" t="s">
        <v>45</v>
      </c>
      <c r="B2" s="852" t="str">
        <f>CONCATENATE(Z_ALAPADATOK!A3)</f>
        <v>Kállósemjén Nagyközség Önkormányzata</v>
      </c>
      <c r="C2" s="852"/>
      <c r="D2" s="852"/>
      <c r="E2" s="397" t="s">
        <v>39</v>
      </c>
    </row>
    <row r="3" spans="1:5" s="48" customFormat="1" ht="24.75" thickBot="1">
      <c r="A3" s="396" t="s">
        <v>137</v>
      </c>
      <c r="B3" s="852" t="s">
        <v>325</v>
      </c>
      <c r="C3" s="852"/>
      <c r="D3" s="852"/>
      <c r="E3" s="398" t="s">
        <v>43</v>
      </c>
    </row>
    <row r="4" spans="1:5" s="49" customFormat="1" ht="15.75" customHeight="1" thickBot="1">
      <c r="A4" s="390"/>
      <c r="B4" s="390"/>
      <c r="C4" s="391"/>
      <c r="D4" s="392"/>
      <c r="E4" s="391" t="str">
        <f>'Z_6.1.sz.mell'!E4</f>
        <v> Forintban!</v>
      </c>
    </row>
    <row r="5" spans="1:5" ht="24.75" thickBot="1">
      <c r="A5" s="393" t="s">
        <v>138</v>
      </c>
      <c r="B5" s="394" t="s">
        <v>496</v>
      </c>
      <c r="C5" s="394" t="s">
        <v>460</v>
      </c>
      <c r="D5" s="395" t="s">
        <v>461</v>
      </c>
      <c r="E5" s="376" t="str">
        <f>CONCATENATE('Z_6.1.sz.mell'!E5)</f>
        <v>Teljesítés
2018. XII. 31.</v>
      </c>
    </row>
    <row r="6" spans="1:5" s="44" customFormat="1" ht="12.75" customHeight="1" thickBot="1">
      <c r="A6" s="74" t="s">
        <v>388</v>
      </c>
      <c r="B6" s="75" t="s">
        <v>389</v>
      </c>
      <c r="C6" s="75" t="s">
        <v>390</v>
      </c>
      <c r="D6" s="313" t="s">
        <v>392</v>
      </c>
      <c r="E6" s="76" t="s">
        <v>391</v>
      </c>
    </row>
    <row r="7" spans="1:5" s="44" customFormat="1" ht="15.75" customHeight="1" thickBot="1">
      <c r="A7" s="849" t="s">
        <v>40</v>
      </c>
      <c r="B7" s="850"/>
      <c r="C7" s="850"/>
      <c r="D7" s="850"/>
      <c r="E7" s="851"/>
    </row>
    <row r="8" spans="1:5" s="44" customFormat="1" ht="12" customHeight="1" thickBot="1">
      <c r="A8" s="25" t="s">
        <v>6</v>
      </c>
      <c r="B8" s="19" t="s">
        <v>162</v>
      </c>
      <c r="C8" s="166">
        <f>+C9+C10+C11+C12+C13+C14</f>
        <v>282510000</v>
      </c>
      <c r="D8" s="253">
        <f>+D9+D10+D11+D12+D13+D14</f>
        <v>293703971</v>
      </c>
      <c r="E8" s="102">
        <f>+E9+E10+E11+E12+E13+E14</f>
        <v>271893151</v>
      </c>
    </row>
    <row r="9" spans="1:5" s="50" customFormat="1" ht="12" customHeight="1">
      <c r="A9" s="196" t="s">
        <v>64</v>
      </c>
      <c r="B9" s="179" t="s">
        <v>163</v>
      </c>
      <c r="C9" s="168">
        <v>128228568</v>
      </c>
      <c r="D9" s="254">
        <v>128228568</v>
      </c>
      <c r="E9" s="104">
        <v>128354838</v>
      </c>
    </row>
    <row r="10" spans="1:5" s="51" customFormat="1" ht="12" customHeight="1">
      <c r="A10" s="197" t="s">
        <v>65</v>
      </c>
      <c r="B10" s="180" t="s">
        <v>164</v>
      </c>
      <c r="C10" s="167">
        <v>62145100</v>
      </c>
      <c r="D10" s="255">
        <v>62145100</v>
      </c>
      <c r="E10" s="103">
        <v>61997800</v>
      </c>
    </row>
    <row r="11" spans="1:5" s="51" customFormat="1" ht="12" customHeight="1">
      <c r="A11" s="197" t="s">
        <v>66</v>
      </c>
      <c r="B11" s="180" t="s">
        <v>165</v>
      </c>
      <c r="C11" s="167">
        <v>64367285</v>
      </c>
      <c r="D11" s="255">
        <v>64922059</v>
      </c>
      <c r="E11" s="103">
        <v>64922059</v>
      </c>
    </row>
    <row r="12" spans="1:5" s="51" customFormat="1" ht="12" customHeight="1">
      <c r="A12" s="197" t="s">
        <v>67</v>
      </c>
      <c r="B12" s="180" t="s">
        <v>166</v>
      </c>
      <c r="C12" s="167">
        <v>4541130</v>
      </c>
      <c r="D12" s="255">
        <v>5588560</v>
      </c>
      <c r="E12" s="103">
        <v>6036701</v>
      </c>
    </row>
    <row r="13" spans="1:5" s="51" customFormat="1" ht="12" customHeight="1">
      <c r="A13" s="197" t="s">
        <v>99</v>
      </c>
      <c r="B13" s="180" t="s">
        <v>396</v>
      </c>
      <c r="C13" s="167">
        <v>23227917</v>
      </c>
      <c r="D13" s="255">
        <v>32819684</v>
      </c>
      <c r="E13" s="103">
        <v>10581753</v>
      </c>
    </row>
    <row r="14" spans="1:5" s="50" customFormat="1" ht="12" customHeight="1" thickBot="1">
      <c r="A14" s="198" t="s">
        <v>68</v>
      </c>
      <c r="B14" s="181" t="s">
        <v>337</v>
      </c>
      <c r="C14" s="167"/>
      <c r="D14" s="255"/>
      <c r="E14" s="103"/>
    </row>
    <row r="15" spans="1:5" s="50" customFormat="1" ht="12" customHeight="1" thickBot="1">
      <c r="A15" s="25" t="s">
        <v>7</v>
      </c>
      <c r="B15" s="109" t="s">
        <v>167</v>
      </c>
      <c r="C15" s="166">
        <f>+C16+C17+C18+C19+C20</f>
        <v>130598640</v>
      </c>
      <c r="D15" s="253">
        <f>+D16+D17+D18+D19+D20</f>
        <v>136424336</v>
      </c>
      <c r="E15" s="102">
        <f>+E16+E17+E18+E19+E20</f>
        <v>169161909</v>
      </c>
    </row>
    <row r="16" spans="1:5" s="50" customFormat="1" ht="12" customHeight="1">
      <c r="A16" s="196" t="s">
        <v>70</v>
      </c>
      <c r="B16" s="179" t="s">
        <v>168</v>
      </c>
      <c r="C16" s="168"/>
      <c r="D16" s="254"/>
      <c r="E16" s="104"/>
    </row>
    <row r="17" spans="1:5" s="50" customFormat="1" ht="12" customHeight="1">
      <c r="A17" s="197" t="s">
        <v>71</v>
      </c>
      <c r="B17" s="180" t="s">
        <v>169</v>
      </c>
      <c r="C17" s="167"/>
      <c r="D17" s="255"/>
      <c r="E17" s="103"/>
    </row>
    <row r="18" spans="1:5" s="50" customFormat="1" ht="12" customHeight="1">
      <c r="A18" s="197" t="s">
        <v>72</v>
      </c>
      <c r="B18" s="180" t="s">
        <v>328</v>
      </c>
      <c r="C18" s="167"/>
      <c r="D18" s="255"/>
      <c r="E18" s="103"/>
    </row>
    <row r="19" spans="1:5" s="50" customFormat="1" ht="12" customHeight="1">
      <c r="A19" s="197" t="s">
        <v>73</v>
      </c>
      <c r="B19" s="180" t="s">
        <v>329</v>
      </c>
      <c r="C19" s="167"/>
      <c r="D19" s="255"/>
      <c r="E19" s="103"/>
    </row>
    <row r="20" spans="1:5" s="50" customFormat="1" ht="12" customHeight="1">
      <c r="A20" s="197" t="s">
        <v>74</v>
      </c>
      <c r="B20" s="180" t="s">
        <v>170</v>
      </c>
      <c r="C20" s="167">
        <v>130598640</v>
      </c>
      <c r="D20" s="255">
        <v>136424336</v>
      </c>
      <c r="E20" s="103">
        <v>169161909</v>
      </c>
    </row>
    <row r="21" spans="1:5" s="51" customFormat="1" ht="12" customHeight="1" thickBot="1">
      <c r="A21" s="198" t="s">
        <v>81</v>
      </c>
      <c r="B21" s="181" t="s">
        <v>171</v>
      </c>
      <c r="C21" s="169"/>
      <c r="D21" s="256"/>
      <c r="E21" s="105">
        <v>29141413</v>
      </c>
    </row>
    <row r="22" spans="1:5" s="51" customFormat="1" ht="12" customHeight="1" thickBot="1">
      <c r="A22" s="25" t="s">
        <v>8</v>
      </c>
      <c r="B22" s="19" t="s">
        <v>172</v>
      </c>
      <c r="C22" s="166">
        <f>+C23+C24+C25+C26+C27</f>
        <v>2840403</v>
      </c>
      <c r="D22" s="253">
        <f>+D23+D24+D25+D26+D27</f>
        <v>43339733</v>
      </c>
      <c r="E22" s="102">
        <f>+E23+E24+E25+E26+E27</f>
        <v>51577821</v>
      </c>
    </row>
    <row r="23" spans="1:5" s="51" customFormat="1" ht="12" customHeight="1">
      <c r="A23" s="196" t="s">
        <v>53</v>
      </c>
      <c r="B23" s="179" t="s">
        <v>173</v>
      </c>
      <c r="C23" s="168"/>
      <c r="D23" s="254">
        <v>107000</v>
      </c>
      <c r="E23" s="104">
        <v>107000</v>
      </c>
    </row>
    <row r="24" spans="1:5" s="50" customFormat="1" ht="12" customHeight="1">
      <c r="A24" s="197" t="s">
        <v>54</v>
      </c>
      <c r="B24" s="180" t="s">
        <v>174</v>
      </c>
      <c r="C24" s="167"/>
      <c r="D24" s="255"/>
      <c r="E24" s="103"/>
    </row>
    <row r="25" spans="1:5" s="51" customFormat="1" ht="12" customHeight="1">
      <c r="A25" s="197" t="s">
        <v>55</v>
      </c>
      <c r="B25" s="180" t="s">
        <v>330</v>
      </c>
      <c r="C25" s="167"/>
      <c r="D25" s="255"/>
      <c r="E25" s="103"/>
    </row>
    <row r="26" spans="1:5" s="51" customFormat="1" ht="12" customHeight="1">
      <c r="A26" s="197" t="s">
        <v>56</v>
      </c>
      <c r="B26" s="180" t="s">
        <v>331</v>
      </c>
      <c r="C26" s="167"/>
      <c r="D26" s="255"/>
      <c r="E26" s="103"/>
    </row>
    <row r="27" spans="1:5" s="51" customFormat="1" ht="12" customHeight="1">
      <c r="A27" s="197" t="s">
        <v>112</v>
      </c>
      <c r="B27" s="180" t="s">
        <v>175</v>
      </c>
      <c r="C27" s="167">
        <v>2840403</v>
      </c>
      <c r="D27" s="255">
        <v>43232733</v>
      </c>
      <c r="E27" s="103">
        <v>51470821</v>
      </c>
    </row>
    <row r="28" spans="1:5" s="51" customFormat="1" ht="12" customHeight="1" thickBot="1">
      <c r="A28" s="198" t="s">
        <v>113</v>
      </c>
      <c r="B28" s="181" t="s">
        <v>176</v>
      </c>
      <c r="C28" s="169"/>
      <c r="D28" s="256"/>
      <c r="E28" s="105">
        <v>33204317</v>
      </c>
    </row>
    <row r="29" spans="1:5" s="51" customFormat="1" ht="12" customHeight="1" thickBot="1">
      <c r="A29" s="25" t="s">
        <v>114</v>
      </c>
      <c r="B29" s="19" t="s">
        <v>487</v>
      </c>
      <c r="C29" s="172">
        <f>SUM(C30:C36)</f>
        <v>52320000</v>
      </c>
      <c r="D29" s="172">
        <f>SUM(D30:D36)</f>
        <v>53230155</v>
      </c>
      <c r="E29" s="208">
        <f>SUM(E30:E36)</f>
        <v>58430424</v>
      </c>
    </row>
    <row r="30" spans="1:5" s="51" customFormat="1" ht="12" customHeight="1">
      <c r="A30" s="196" t="s">
        <v>177</v>
      </c>
      <c r="B30" s="179" t="s">
        <v>899</v>
      </c>
      <c r="C30" s="168">
        <v>13800000</v>
      </c>
      <c r="D30" s="168">
        <v>13800000</v>
      </c>
      <c r="E30" s="104">
        <v>11287289</v>
      </c>
    </row>
    <row r="31" spans="1:5" s="51" customFormat="1" ht="12" customHeight="1">
      <c r="A31" s="197" t="s">
        <v>178</v>
      </c>
      <c r="B31" s="180" t="s">
        <v>489</v>
      </c>
      <c r="C31" s="167"/>
      <c r="D31" s="167"/>
      <c r="E31" s="103"/>
    </row>
    <row r="32" spans="1:5" s="51" customFormat="1" ht="12" customHeight="1">
      <c r="A32" s="197" t="s">
        <v>179</v>
      </c>
      <c r="B32" s="180" t="s">
        <v>490</v>
      </c>
      <c r="C32" s="167">
        <v>29300000</v>
      </c>
      <c r="D32" s="167">
        <v>29705353</v>
      </c>
      <c r="E32" s="103">
        <v>38556174</v>
      </c>
    </row>
    <row r="33" spans="1:5" s="51" customFormat="1" ht="12" customHeight="1">
      <c r="A33" s="197" t="s">
        <v>180</v>
      </c>
      <c r="B33" s="180" t="s">
        <v>491</v>
      </c>
      <c r="C33" s="167">
        <v>650000</v>
      </c>
      <c r="D33" s="167">
        <v>650000</v>
      </c>
      <c r="E33" s="103"/>
    </row>
    <row r="34" spans="1:5" s="51" customFormat="1" ht="12" customHeight="1">
      <c r="A34" s="197" t="s">
        <v>492</v>
      </c>
      <c r="B34" s="180" t="s">
        <v>181</v>
      </c>
      <c r="C34" s="167">
        <v>7220000</v>
      </c>
      <c r="D34" s="167">
        <v>7724802</v>
      </c>
      <c r="E34" s="103">
        <v>7724802</v>
      </c>
    </row>
    <row r="35" spans="1:5" s="51" customFormat="1" ht="12" customHeight="1">
      <c r="A35" s="197" t="s">
        <v>493</v>
      </c>
      <c r="B35" s="180" t="s">
        <v>182</v>
      </c>
      <c r="C35" s="167"/>
      <c r="D35" s="167"/>
      <c r="E35" s="103"/>
    </row>
    <row r="36" spans="1:5" s="51" customFormat="1" ht="12" customHeight="1" thickBot="1">
      <c r="A36" s="198" t="s">
        <v>494</v>
      </c>
      <c r="B36" s="329" t="s">
        <v>183</v>
      </c>
      <c r="C36" s="169">
        <v>1350000</v>
      </c>
      <c r="D36" s="169">
        <v>1350000</v>
      </c>
      <c r="E36" s="105">
        <v>862159</v>
      </c>
    </row>
    <row r="37" spans="1:5" s="51" customFormat="1" ht="12" customHeight="1" thickBot="1">
      <c r="A37" s="25" t="s">
        <v>10</v>
      </c>
      <c r="B37" s="19" t="s">
        <v>338</v>
      </c>
      <c r="C37" s="166">
        <f>SUM(C38:C48)</f>
        <v>44591418</v>
      </c>
      <c r="D37" s="253">
        <f>SUM(D38:D48)</f>
        <v>62980062</v>
      </c>
      <c r="E37" s="102">
        <f>SUM(E38:E48)</f>
        <v>64550614</v>
      </c>
    </row>
    <row r="38" spans="1:5" s="51" customFormat="1" ht="12" customHeight="1">
      <c r="A38" s="196" t="s">
        <v>57</v>
      </c>
      <c r="B38" s="179" t="s">
        <v>186</v>
      </c>
      <c r="C38" s="168">
        <v>10000</v>
      </c>
      <c r="D38" s="254">
        <v>3848986</v>
      </c>
      <c r="E38" s="104">
        <v>3976439</v>
      </c>
    </row>
    <row r="39" spans="1:5" s="51" customFormat="1" ht="12" customHeight="1">
      <c r="A39" s="197" t="s">
        <v>58</v>
      </c>
      <c r="B39" s="180" t="s">
        <v>187</v>
      </c>
      <c r="C39" s="167">
        <v>6957341</v>
      </c>
      <c r="D39" s="255">
        <v>14253416</v>
      </c>
      <c r="E39" s="103">
        <v>15576558</v>
      </c>
    </row>
    <row r="40" spans="1:5" s="51" customFormat="1" ht="12" customHeight="1">
      <c r="A40" s="197" t="s">
        <v>59</v>
      </c>
      <c r="B40" s="180" t="s">
        <v>188</v>
      </c>
      <c r="C40" s="167"/>
      <c r="D40" s="255">
        <v>540043</v>
      </c>
      <c r="E40" s="103">
        <v>540043</v>
      </c>
    </row>
    <row r="41" spans="1:5" s="51" customFormat="1" ht="12" customHeight="1">
      <c r="A41" s="197" t="s">
        <v>116</v>
      </c>
      <c r="B41" s="180" t="s">
        <v>189</v>
      </c>
      <c r="C41" s="167"/>
      <c r="D41" s="255"/>
      <c r="E41" s="103"/>
    </row>
    <row r="42" spans="1:5" s="51" customFormat="1" ht="12" customHeight="1">
      <c r="A42" s="197" t="s">
        <v>117</v>
      </c>
      <c r="B42" s="180" t="s">
        <v>190</v>
      </c>
      <c r="C42" s="167">
        <v>25390290</v>
      </c>
      <c r="D42" s="255">
        <v>25496941</v>
      </c>
      <c r="E42" s="103">
        <v>14933005</v>
      </c>
    </row>
    <row r="43" spans="1:5" s="51" customFormat="1" ht="12" customHeight="1">
      <c r="A43" s="197" t="s">
        <v>118</v>
      </c>
      <c r="B43" s="180" t="s">
        <v>191</v>
      </c>
      <c r="C43" s="167">
        <v>8733787</v>
      </c>
      <c r="D43" s="255">
        <v>10150165</v>
      </c>
      <c r="E43" s="103">
        <v>11049136</v>
      </c>
    </row>
    <row r="44" spans="1:5" s="51" customFormat="1" ht="12" customHeight="1">
      <c r="A44" s="197" t="s">
        <v>119</v>
      </c>
      <c r="B44" s="180" t="s">
        <v>192</v>
      </c>
      <c r="C44" s="167"/>
      <c r="D44" s="255"/>
      <c r="E44" s="103"/>
    </row>
    <row r="45" spans="1:5" s="51" customFormat="1" ht="12" customHeight="1">
      <c r="A45" s="197" t="s">
        <v>120</v>
      </c>
      <c r="B45" s="180" t="s">
        <v>495</v>
      </c>
      <c r="C45" s="167"/>
      <c r="D45" s="255">
        <v>214134</v>
      </c>
      <c r="E45" s="103">
        <v>2421812</v>
      </c>
    </row>
    <row r="46" spans="1:5" s="51" customFormat="1" ht="12" customHeight="1">
      <c r="A46" s="197" t="s">
        <v>184</v>
      </c>
      <c r="B46" s="180" t="s">
        <v>194</v>
      </c>
      <c r="C46" s="170"/>
      <c r="D46" s="314"/>
      <c r="E46" s="106"/>
    </row>
    <row r="47" spans="1:5" s="51" customFormat="1" ht="12" customHeight="1">
      <c r="A47" s="198" t="s">
        <v>185</v>
      </c>
      <c r="B47" s="181" t="s">
        <v>340</v>
      </c>
      <c r="C47" s="171"/>
      <c r="D47" s="315"/>
      <c r="E47" s="107"/>
    </row>
    <row r="48" spans="1:5" s="51" customFormat="1" ht="12" customHeight="1" thickBot="1">
      <c r="A48" s="198" t="s">
        <v>339</v>
      </c>
      <c r="B48" s="181" t="s">
        <v>195</v>
      </c>
      <c r="C48" s="171">
        <v>3500000</v>
      </c>
      <c r="D48" s="315">
        <v>8476377</v>
      </c>
      <c r="E48" s="107">
        <v>16053621</v>
      </c>
    </row>
    <row r="49" spans="1:5" s="51" customFormat="1" ht="12" customHeight="1" thickBot="1">
      <c r="A49" s="25" t="s">
        <v>11</v>
      </c>
      <c r="B49" s="19" t="s">
        <v>196</v>
      </c>
      <c r="C49" s="166">
        <f>SUM(C50:C54)</f>
        <v>23494885</v>
      </c>
      <c r="D49" s="253">
        <f>SUM(D50:D54)</f>
        <v>23494885</v>
      </c>
      <c r="E49" s="102">
        <f>SUM(E50:E54)</f>
        <v>0</v>
      </c>
    </row>
    <row r="50" spans="1:5" s="51" customFormat="1" ht="12" customHeight="1">
      <c r="A50" s="196" t="s">
        <v>60</v>
      </c>
      <c r="B50" s="179" t="s">
        <v>200</v>
      </c>
      <c r="C50" s="219"/>
      <c r="D50" s="316"/>
      <c r="E50" s="108"/>
    </row>
    <row r="51" spans="1:5" s="51" customFormat="1" ht="12" customHeight="1">
      <c r="A51" s="197" t="s">
        <v>61</v>
      </c>
      <c r="B51" s="180" t="s">
        <v>201</v>
      </c>
      <c r="C51" s="170">
        <v>23494885</v>
      </c>
      <c r="D51" s="314">
        <v>23494885</v>
      </c>
      <c r="E51" s="106"/>
    </row>
    <row r="52" spans="1:5" s="51" customFormat="1" ht="12" customHeight="1">
      <c r="A52" s="197" t="s">
        <v>197</v>
      </c>
      <c r="B52" s="180" t="s">
        <v>202</v>
      </c>
      <c r="C52" s="170"/>
      <c r="D52" s="314"/>
      <c r="E52" s="106"/>
    </row>
    <row r="53" spans="1:5" s="51" customFormat="1" ht="12" customHeight="1">
      <c r="A53" s="197" t="s">
        <v>198</v>
      </c>
      <c r="B53" s="180" t="s">
        <v>203</v>
      </c>
      <c r="C53" s="170"/>
      <c r="D53" s="314"/>
      <c r="E53" s="106"/>
    </row>
    <row r="54" spans="1:5" s="51" customFormat="1" ht="12" customHeight="1" thickBot="1">
      <c r="A54" s="198" t="s">
        <v>199</v>
      </c>
      <c r="B54" s="181" t="s">
        <v>204</v>
      </c>
      <c r="C54" s="171"/>
      <c r="D54" s="315"/>
      <c r="E54" s="107"/>
    </row>
    <row r="55" spans="1:5" s="51" customFormat="1" ht="12" customHeight="1" thickBot="1">
      <c r="A55" s="25" t="s">
        <v>121</v>
      </c>
      <c r="B55" s="19" t="s">
        <v>205</v>
      </c>
      <c r="C55" s="166">
        <f>SUM(C56:C58)</f>
        <v>0</v>
      </c>
      <c r="D55" s="253">
        <f>SUM(D56:D58)</f>
        <v>2227930</v>
      </c>
      <c r="E55" s="102">
        <f>SUM(E56:E58)</f>
        <v>9926388</v>
      </c>
    </row>
    <row r="56" spans="1:5" s="51" customFormat="1" ht="12" customHeight="1">
      <c r="A56" s="196" t="s">
        <v>62</v>
      </c>
      <c r="B56" s="179" t="s">
        <v>206</v>
      </c>
      <c r="C56" s="168"/>
      <c r="D56" s="254"/>
      <c r="E56" s="104"/>
    </row>
    <row r="57" spans="1:5" s="51" customFormat="1" ht="12" customHeight="1">
      <c r="A57" s="197" t="s">
        <v>63</v>
      </c>
      <c r="B57" s="180" t="s">
        <v>332</v>
      </c>
      <c r="C57" s="167"/>
      <c r="D57" s="255">
        <v>2007930</v>
      </c>
      <c r="E57" s="103">
        <v>2109155</v>
      </c>
    </row>
    <row r="58" spans="1:5" s="51" customFormat="1" ht="12" customHeight="1">
      <c r="A58" s="197" t="s">
        <v>209</v>
      </c>
      <c r="B58" s="180" t="s">
        <v>207</v>
      </c>
      <c r="C58" s="167"/>
      <c r="D58" s="255">
        <v>220000</v>
      </c>
      <c r="E58" s="103">
        <v>7817233</v>
      </c>
    </row>
    <row r="59" spans="1:5" s="51" customFormat="1" ht="12" customHeight="1" thickBot="1">
      <c r="A59" s="198" t="s">
        <v>210</v>
      </c>
      <c r="B59" s="181" t="s">
        <v>208</v>
      </c>
      <c r="C59" s="169"/>
      <c r="D59" s="256"/>
      <c r="E59" s="105"/>
    </row>
    <row r="60" spans="1:5" s="51" customFormat="1" ht="12" customHeight="1" thickBot="1">
      <c r="A60" s="25" t="s">
        <v>13</v>
      </c>
      <c r="B60" s="109" t="s">
        <v>211</v>
      </c>
      <c r="C60" s="166">
        <f>SUM(C61:C63)</f>
        <v>0</v>
      </c>
      <c r="D60" s="253">
        <f>SUM(D61:D63)</f>
        <v>0</v>
      </c>
      <c r="E60" s="102">
        <f>SUM(E61:E63)</f>
        <v>3752010</v>
      </c>
    </row>
    <row r="61" spans="1:5" s="51" customFormat="1" ht="12" customHeight="1">
      <c r="A61" s="196" t="s">
        <v>122</v>
      </c>
      <c r="B61" s="179" t="s">
        <v>213</v>
      </c>
      <c r="C61" s="170"/>
      <c r="D61" s="314"/>
      <c r="E61" s="106"/>
    </row>
    <row r="62" spans="1:5" s="51" customFormat="1" ht="12" customHeight="1">
      <c r="A62" s="197" t="s">
        <v>123</v>
      </c>
      <c r="B62" s="180" t="s">
        <v>333</v>
      </c>
      <c r="C62" s="170"/>
      <c r="D62" s="314"/>
      <c r="E62" s="106"/>
    </row>
    <row r="63" spans="1:5" s="51" customFormat="1" ht="12" customHeight="1">
      <c r="A63" s="197" t="s">
        <v>146</v>
      </c>
      <c r="B63" s="180" t="s">
        <v>214</v>
      </c>
      <c r="C63" s="170"/>
      <c r="D63" s="314"/>
      <c r="E63" s="106">
        <v>3752010</v>
      </c>
    </row>
    <row r="64" spans="1:5" s="51" customFormat="1" ht="12" customHeight="1" thickBot="1">
      <c r="A64" s="198" t="s">
        <v>212</v>
      </c>
      <c r="B64" s="181" t="s">
        <v>215</v>
      </c>
      <c r="C64" s="170"/>
      <c r="D64" s="314"/>
      <c r="E64" s="106"/>
    </row>
    <row r="65" spans="1:5" s="51" customFormat="1" ht="12" customHeight="1" thickBot="1">
      <c r="A65" s="25" t="s">
        <v>14</v>
      </c>
      <c r="B65" s="19" t="s">
        <v>216</v>
      </c>
      <c r="C65" s="172">
        <f>+C8+C15+C22+C29+C37+C49+C55+C60</f>
        <v>536355346</v>
      </c>
      <c r="D65" s="257">
        <f>+D8+D15+D22+D29+D37+D49+D55+D60</f>
        <v>615401072</v>
      </c>
      <c r="E65" s="208">
        <f>+E8+E15+E22+E29+E37+E49+E55+E60</f>
        <v>629292317</v>
      </c>
    </row>
    <row r="66" spans="1:5" s="51" customFormat="1" ht="12" customHeight="1" thickBot="1">
      <c r="A66" s="199" t="s">
        <v>301</v>
      </c>
      <c r="B66" s="109" t="s">
        <v>218</v>
      </c>
      <c r="C66" s="166">
        <f>SUM(C67:C69)</f>
        <v>0</v>
      </c>
      <c r="D66" s="253">
        <f>SUM(D67:D69)</f>
        <v>0</v>
      </c>
      <c r="E66" s="102">
        <f>SUM(E67:E69)</f>
        <v>0</v>
      </c>
    </row>
    <row r="67" spans="1:5" s="51" customFormat="1" ht="12" customHeight="1">
      <c r="A67" s="196" t="s">
        <v>246</v>
      </c>
      <c r="B67" s="179" t="s">
        <v>219</v>
      </c>
      <c r="C67" s="170"/>
      <c r="D67" s="314"/>
      <c r="E67" s="106"/>
    </row>
    <row r="68" spans="1:5" s="51" customFormat="1" ht="12" customHeight="1">
      <c r="A68" s="197" t="s">
        <v>255</v>
      </c>
      <c r="B68" s="180" t="s">
        <v>220</v>
      </c>
      <c r="C68" s="170"/>
      <c r="D68" s="314"/>
      <c r="E68" s="106"/>
    </row>
    <row r="69" spans="1:5" s="51" customFormat="1" ht="12" customHeight="1" thickBot="1">
      <c r="A69" s="206" t="s">
        <v>256</v>
      </c>
      <c r="B69" s="384" t="s">
        <v>221</v>
      </c>
      <c r="C69" s="385"/>
      <c r="D69" s="317"/>
      <c r="E69" s="386"/>
    </row>
    <row r="70" spans="1:5" s="51" customFormat="1" ht="12" customHeight="1" thickBot="1">
      <c r="A70" s="199" t="s">
        <v>222</v>
      </c>
      <c r="B70" s="109" t="s">
        <v>223</v>
      </c>
      <c r="C70" s="166">
        <f>SUM(C71:C74)</f>
        <v>0</v>
      </c>
      <c r="D70" s="166">
        <f>SUM(D71:D74)</f>
        <v>0</v>
      </c>
      <c r="E70" s="102">
        <f>SUM(E71:E74)</f>
        <v>0</v>
      </c>
    </row>
    <row r="71" spans="1:5" s="51" customFormat="1" ht="12" customHeight="1">
      <c r="A71" s="196" t="s">
        <v>100</v>
      </c>
      <c r="B71" s="367" t="s">
        <v>224</v>
      </c>
      <c r="C71" s="170"/>
      <c r="D71" s="170"/>
      <c r="E71" s="106"/>
    </row>
    <row r="72" spans="1:5" s="51" customFormat="1" ht="12" customHeight="1">
      <c r="A72" s="197" t="s">
        <v>101</v>
      </c>
      <c r="B72" s="367" t="s">
        <v>502</v>
      </c>
      <c r="C72" s="170"/>
      <c r="D72" s="170"/>
      <c r="E72" s="106"/>
    </row>
    <row r="73" spans="1:5" s="51" customFormat="1" ht="12" customHeight="1">
      <c r="A73" s="197" t="s">
        <v>247</v>
      </c>
      <c r="B73" s="367" t="s">
        <v>225</v>
      </c>
      <c r="C73" s="170"/>
      <c r="D73" s="170"/>
      <c r="E73" s="106"/>
    </row>
    <row r="74" spans="1:5" s="51" customFormat="1" ht="12" customHeight="1" thickBot="1">
      <c r="A74" s="198" t="s">
        <v>248</v>
      </c>
      <c r="B74" s="368" t="s">
        <v>503</v>
      </c>
      <c r="C74" s="170"/>
      <c r="D74" s="170"/>
      <c r="E74" s="106"/>
    </row>
    <row r="75" spans="1:5" s="51" customFormat="1" ht="12" customHeight="1" thickBot="1">
      <c r="A75" s="199" t="s">
        <v>226</v>
      </c>
      <c r="B75" s="109" t="s">
        <v>227</v>
      </c>
      <c r="C75" s="166">
        <f>SUM(C76:C77)</f>
        <v>0</v>
      </c>
      <c r="D75" s="166">
        <f>SUM(D76:D77)</f>
        <v>252637277</v>
      </c>
      <c r="E75" s="102">
        <f>SUM(E76:E77)</f>
        <v>785500149</v>
      </c>
    </row>
    <row r="76" spans="1:5" s="51" customFormat="1" ht="12" customHeight="1">
      <c r="A76" s="196" t="s">
        <v>249</v>
      </c>
      <c r="B76" s="179" t="s">
        <v>228</v>
      </c>
      <c r="C76" s="170"/>
      <c r="D76" s="170">
        <v>252637277</v>
      </c>
      <c r="E76" s="106">
        <v>485500149</v>
      </c>
    </row>
    <row r="77" spans="1:5" s="51" customFormat="1" ht="12" customHeight="1" thickBot="1">
      <c r="A77" s="198" t="s">
        <v>250</v>
      </c>
      <c r="B77" s="181" t="s">
        <v>504</v>
      </c>
      <c r="C77" s="170"/>
      <c r="D77" s="170"/>
      <c r="E77" s="106">
        <v>300000000</v>
      </c>
    </row>
    <row r="78" spans="1:5" s="50" customFormat="1" ht="12" customHeight="1" thickBot="1">
      <c r="A78" s="199" t="s">
        <v>230</v>
      </c>
      <c r="B78" s="109" t="s">
        <v>231</v>
      </c>
      <c r="C78" s="166">
        <f>SUM(C79:C81)</f>
        <v>97195297</v>
      </c>
      <c r="D78" s="166">
        <f>SUM(D79:D81)</f>
        <v>97195297</v>
      </c>
      <c r="E78" s="102">
        <f>SUM(E79:E81)</f>
        <v>104510868</v>
      </c>
    </row>
    <row r="79" spans="1:5" s="51" customFormat="1" ht="12" customHeight="1">
      <c r="A79" s="196" t="s">
        <v>251</v>
      </c>
      <c r="B79" s="179" t="s">
        <v>232</v>
      </c>
      <c r="C79" s="170"/>
      <c r="D79" s="170"/>
      <c r="E79" s="106">
        <v>9902825</v>
      </c>
    </row>
    <row r="80" spans="1:5" s="51" customFormat="1" ht="12" customHeight="1">
      <c r="A80" s="197" t="s">
        <v>252</v>
      </c>
      <c r="B80" s="180" t="s">
        <v>233</v>
      </c>
      <c r="C80" s="170"/>
      <c r="D80" s="170"/>
      <c r="E80" s="106"/>
    </row>
    <row r="81" spans="1:5" s="51" customFormat="1" ht="12" customHeight="1" thickBot="1">
      <c r="A81" s="198" t="s">
        <v>253</v>
      </c>
      <c r="B81" s="181" t="s">
        <v>900</v>
      </c>
      <c r="C81" s="170">
        <v>97195297</v>
      </c>
      <c r="D81" s="170">
        <v>97195297</v>
      </c>
      <c r="E81" s="106">
        <v>94608043</v>
      </c>
    </row>
    <row r="82" spans="1:5" s="51" customFormat="1" ht="12" customHeight="1" thickBot="1">
      <c r="A82" s="199" t="s">
        <v>234</v>
      </c>
      <c r="B82" s="109" t="s">
        <v>254</v>
      </c>
      <c r="C82" s="166">
        <f>SUM(C83:C86)</f>
        <v>0</v>
      </c>
      <c r="D82" s="166">
        <f>SUM(D83:D86)</f>
        <v>0</v>
      </c>
      <c r="E82" s="102">
        <f>SUM(E83:E86)</f>
        <v>0</v>
      </c>
    </row>
    <row r="83" spans="1:5" s="51" customFormat="1" ht="12" customHeight="1">
      <c r="A83" s="200" t="s">
        <v>235</v>
      </c>
      <c r="B83" s="179" t="s">
        <v>236</v>
      </c>
      <c r="C83" s="170"/>
      <c r="D83" s="170"/>
      <c r="E83" s="106"/>
    </row>
    <row r="84" spans="1:5" s="51" customFormat="1" ht="12" customHeight="1">
      <c r="A84" s="201" t="s">
        <v>237</v>
      </c>
      <c r="B84" s="180" t="s">
        <v>238</v>
      </c>
      <c r="C84" s="170"/>
      <c r="D84" s="170"/>
      <c r="E84" s="106"/>
    </row>
    <row r="85" spans="1:5" s="51" customFormat="1" ht="12" customHeight="1">
      <c r="A85" s="201" t="s">
        <v>239</v>
      </c>
      <c r="B85" s="180" t="s">
        <v>240</v>
      </c>
      <c r="C85" s="170"/>
      <c r="D85" s="170"/>
      <c r="E85" s="106"/>
    </row>
    <row r="86" spans="1:5" s="50" customFormat="1" ht="12" customHeight="1" thickBot="1">
      <c r="A86" s="202" t="s">
        <v>241</v>
      </c>
      <c r="B86" s="181" t="s">
        <v>242</v>
      </c>
      <c r="C86" s="170"/>
      <c r="D86" s="170"/>
      <c r="E86" s="106"/>
    </row>
    <row r="87" spans="1:5" s="50" customFormat="1" ht="12" customHeight="1" thickBot="1">
      <c r="A87" s="199" t="s">
        <v>243</v>
      </c>
      <c r="B87" s="109" t="s">
        <v>379</v>
      </c>
      <c r="C87" s="222"/>
      <c r="D87" s="222"/>
      <c r="E87" s="223"/>
    </row>
    <row r="88" spans="1:5" s="50" customFormat="1" ht="12" customHeight="1" thickBot="1">
      <c r="A88" s="199" t="s">
        <v>397</v>
      </c>
      <c r="B88" s="109" t="s">
        <v>244</v>
      </c>
      <c r="C88" s="222"/>
      <c r="D88" s="222"/>
      <c r="E88" s="223"/>
    </row>
    <row r="89" spans="1:5" s="50" customFormat="1" ht="12" customHeight="1" thickBot="1">
      <c r="A89" s="199" t="s">
        <v>398</v>
      </c>
      <c r="B89" s="186" t="s">
        <v>382</v>
      </c>
      <c r="C89" s="172">
        <f>+C66+C70+C75+C78+C82+C88+C87</f>
        <v>97195297</v>
      </c>
      <c r="D89" s="172">
        <f>+D66+D70+D75+D78+D82+D88+D87</f>
        <v>349832574</v>
      </c>
      <c r="E89" s="208">
        <f>+E66+E70+E75+E78+E82+E88+E87</f>
        <v>890011017</v>
      </c>
    </row>
    <row r="90" spans="1:5" s="50" customFormat="1" ht="12" customHeight="1" thickBot="1">
      <c r="A90" s="203" t="s">
        <v>399</v>
      </c>
      <c r="B90" s="187" t="s">
        <v>400</v>
      </c>
      <c r="C90" s="172">
        <f>+C65+C89</f>
        <v>633550643</v>
      </c>
      <c r="D90" s="172">
        <f>+D65+D89</f>
        <v>965233646</v>
      </c>
      <c r="E90" s="208">
        <f>+E65+E89</f>
        <v>1519303334</v>
      </c>
    </row>
    <row r="91" spans="1:3" s="51" customFormat="1" ht="15" customHeight="1" thickBot="1">
      <c r="A91" s="86"/>
      <c r="B91" s="87"/>
      <c r="C91" s="148"/>
    </row>
    <row r="92" spans="1:5" s="44" customFormat="1" ht="16.5" customHeight="1" thickBot="1">
      <c r="A92" s="849" t="s">
        <v>41</v>
      </c>
      <c r="B92" s="850"/>
      <c r="C92" s="850"/>
      <c r="D92" s="850"/>
      <c r="E92" s="851"/>
    </row>
    <row r="93" spans="1:5" s="52" customFormat="1" ht="12" customHeight="1" thickBot="1">
      <c r="A93" s="173" t="s">
        <v>6</v>
      </c>
      <c r="B93" s="24" t="s">
        <v>404</v>
      </c>
      <c r="C93" s="165">
        <f>+C94+C95+C96+C97+C98+C111</f>
        <v>449943939</v>
      </c>
      <c r="D93" s="165">
        <f>+D94+D95+D96+D97+D98+D111</f>
        <v>577761343</v>
      </c>
      <c r="E93" s="236">
        <f>+E94+E95+E96+E97+E98+E111</f>
        <v>495910223</v>
      </c>
    </row>
    <row r="94" spans="1:5" ht="12" customHeight="1">
      <c r="A94" s="204" t="s">
        <v>64</v>
      </c>
      <c r="B94" s="8" t="s">
        <v>35</v>
      </c>
      <c r="C94" s="243">
        <v>208023827</v>
      </c>
      <c r="D94" s="243">
        <v>222766390</v>
      </c>
      <c r="E94" s="237">
        <v>222292885</v>
      </c>
    </row>
    <row r="95" spans="1:5" ht="12" customHeight="1">
      <c r="A95" s="197" t="s">
        <v>65</v>
      </c>
      <c r="B95" s="6" t="s">
        <v>124</v>
      </c>
      <c r="C95" s="167">
        <v>30859555</v>
      </c>
      <c r="D95" s="167">
        <v>42295566</v>
      </c>
      <c r="E95" s="103">
        <v>34474028</v>
      </c>
    </row>
    <row r="96" spans="1:5" ht="12" customHeight="1">
      <c r="A96" s="197" t="s">
        <v>66</v>
      </c>
      <c r="B96" s="6" t="s">
        <v>92</v>
      </c>
      <c r="C96" s="169">
        <v>159014993</v>
      </c>
      <c r="D96" s="167">
        <v>245051430</v>
      </c>
      <c r="E96" s="105">
        <v>191552962</v>
      </c>
    </row>
    <row r="97" spans="1:5" ht="12" customHeight="1">
      <c r="A97" s="197" t="s">
        <v>67</v>
      </c>
      <c r="B97" s="9" t="s">
        <v>125</v>
      </c>
      <c r="C97" s="169">
        <v>31641000</v>
      </c>
      <c r="D97" s="256">
        <v>45650312</v>
      </c>
      <c r="E97" s="105">
        <v>32220008</v>
      </c>
    </row>
    <row r="98" spans="1:5" ht="12" customHeight="1">
      <c r="A98" s="197" t="s">
        <v>76</v>
      </c>
      <c r="B98" s="17" t="s">
        <v>126</v>
      </c>
      <c r="C98" s="169">
        <f>SUM(C99:C111)</f>
        <v>20404564</v>
      </c>
      <c r="D98" s="169">
        <f>SUM(D99:D111)</f>
        <v>21997645</v>
      </c>
      <c r="E98" s="169">
        <f>SUM(E99:E111)</f>
        <v>15370340</v>
      </c>
    </row>
    <row r="99" spans="1:5" ht="12" customHeight="1">
      <c r="A99" s="197" t="s">
        <v>68</v>
      </c>
      <c r="B99" s="6" t="s">
        <v>401</v>
      </c>
      <c r="C99" s="169"/>
      <c r="D99" s="256">
        <v>933081</v>
      </c>
      <c r="E99" s="105">
        <v>933081</v>
      </c>
    </row>
    <row r="100" spans="1:5" ht="12" customHeight="1">
      <c r="A100" s="197" t="s">
        <v>69</v>
      </c>
      <c r="B100" s="62" t="s">
        <v>345</v>
      </c>
      <c r="C100" s="169"/>
      <c r="D100" s="256"/>
      <c r="E100" s="105"/>
    </row>
    <row r="101" spans="1:5" ht="12" customHeight="1">
      <c r="A101" s="197" t="s">
        <v>77</v>
      </c>
      <c r="B101" s="62" t="s">
        <v>344</v>
      </c>
      <c r="C101" s="169"/>
      <c r="D101" s="256"/>
      <c r="E101" s="105"/>
    </row>
    <row r="102" spans="1:5" ht="12" customHeight="1">
      <c r="A102" s="197" t="s">
        <v>78</v>
      </c>
      <c r="B102" s="62" t="s">
        <v>260</v>
      </c>
      <c r="C102" s="169"/>
      <c r="D102" s="256"/>
      <c r="E102" s="105"/>
    </row>
    <row r="103" spans="1:5" ht="12" customHeight="1">
      <c r="A103" s="197" t="s">
        <v>79</v>
      </c>
      <c r="B103" s="63" t="s">
        <v>261</v>
      </c>
      <c r="C103" s="169"/>
      <c r="D103" s="256"/>
      <c r="E103" s="105"/>
    </row>
    <row r="104" spans="1:5" ht="12" customHeight="1">
      <c r="A104" s="197" t="s">
        <v>80</v>
      </c>
      <c r="B104" s="63" t="s">
        <v>262</v>
      </c>
      <c r="C104" s="169"/>
      <c r="D104" s="256"/>
      <c r="E104" s="105"/>
    </row>
    <row r="105" spans="1:5" ht="12" customHeight="1">
      <c r="A105" s="197" t="s">
        <v>82</v>
      </c>
      <c r="B105" s="62" t="s">
        <v>263</v>
      </c>
      <c r="C105" s="169">
        <v>19404564</v>
      </c>
      <c r="D105" s="256">
        <v>1162305</v>
      </c>
      <c r="E105" s="105"/>
    </row>
    <row r="106" spans="1:5" ht="12" customHeight="1">
      <c r="A106" s="197" t="s">
        <v>127</v>
      </c>
      <c r="B106" s="62" t="s">
        <v>264</v>
      </c>
      <c r="C106" s="169"/>
      <c r="D106" s="256"/>
      <c r="E106" s="105"/>
    </row>
    <row r="107" spans="1:5" ht="12" customHeight="1">
      <c r="A107" s="197" t="s">
        <v>258</v>
      </c>
      <c r="B107" s="63" t="s">
        <v>265</v>
      </c>
      <c r="C107" s="167"/>
      <c r="D107" s="256">
        <v>5040000</v>
      </c>
      <c r="E107" s="105">
        <v>1195000</v>
      </c>
    </row>
    <row r="108" spans="1:5" ht="12" customHeight="1">
      <c r="A108" s="205" t="s">
        <v>259</v>
      </c>
      <c r="B108" s="64" t="s">
        <v>266</v>
      </c>
      <c r="C108" s="169"/>
      <c r="D108" s="256"/>
      <c r="E108" s="105"/>
    </row>
    <row r="109" spans="1:5" ht="12" customHeight="1">
      <c r="A109" s="197" t="s">
        <v>342</v>
      </c>
      <c r="B109" s="64" t="s">
        <v>267</v>
      </c>
      <c r="C109" s="169"/>
      <c r="D109" s="256"/>
      <c r="E109" s="105"/>
    </row>
    <row r="110" spans="1:5" ht="12" customHeight="1">
      <c r="A110" s="197" t="s">
        <v>343</v>
      </c>
      <c r="B110" s="63" t="s">
        <v>268</v>
      </c>
      <c r="C110" s="167">
        <v>1000000</v>
      </c>
      <c r="D110" s="255">
        <v>14862259</v>
      </c>
      <c r="E110" s="103">
        <v>13242259</v>
      </c>
    </row>
    <row r="111" spans="1:5" ht="12" customHeight="1">
      <c r="A111" s="197" t="s">
        <v>347</v>
      </c>
      <c r="B111" s="9" t="s">
        <v>36</v>
      </c>
      <c r="C111" s="167"/>
      <c r="D111" s="255"/>
      <c r="E111" s="103"/>
    </row>
    <row r="112" spans="1:5" ht="12" customHeight="1">
      <c r="A112" s="198" t="s">
        <v>348</v>
      </c>
      <c r="B112" s="6" t="s">
        <v>402</v>
      </c>
      <c r="C112" s="169"/>
      <c r="D112" s="256"/>
      <c r="E112" s="105"/>
    </row>
    <row r="113" spans="1:5" ht="12" customHeight="1" thickBot="1">
      <c r="A113" s="206" t="s">
        <v>349</v>
      </c>
      <c r="B113" s="65" t="s">
        <v>403</v>
      </c>
      <c r="C113" s="244"/>
      <c r="D113" s="320"/>
      <c r="E113" s="238"/>
    </row>
    <row r="114" spans="1:5" ht="12" customHeight="1" thickBot="1">
      <c r="A114" s="25" t="s">
        <v>7</v>
      </c>
      <c r="B114" s="23" t="s">
        <v>269</v>
      </c>
      <c r="C114" s="166">
        <f>+C115+C117+C119</f>
        <v>26335288</v>
      </c>
      <c r="D114" s="253">
        <f>+D115+D117+D119</f>
        <v>183857052</v>
      </c>
      <c r="E114" s="102">
        <f>+E115+E117+E119</f>
        <v>173489294</v>
      </c>
    </row>
    <row r="115" spans="1:5" ht="12" customHeight="1">
      <c r="A115" s="196" t="s">
        <v>70</v>
      </c>
      <c r="B115" s="6" t="s">
        <v>145</v>
      </c>
      <c r="C115" s="168">
        <v>21819354</v>
      </c>
      <c r="D115" s="254">
        <v>55081594</v>
      </c>
      <c r="E115" s="104">
        <v>51279670</v>
      </c>
    </row>
    <row r="116" spans="1:5" ht="12" customHeight="1">
      <c r="A116" s="196" t="s">
        <v>71</v>
      </c>
      <c r="B116" s="10" t="s">
        <v>273</v>
      </c>
      <c r="C116" s="168"/>
      <c r="D116" s="254"/>
      <c r="E116" s="104">
        <v>30526592</v>
      </c>
    </row>
    <row r="117" spans="1:5" ht="12" customHeight="1">
      <c r="A117" s="196" t="s">
        <v>72</v>
      </c>
      <c r="B117" s="10" t="s">
        <v>128</v>
      </c>
      <c r="C117" s="167">
        <v>1681000</v>
      </c>
      <c r="D117" s="255">
        <v>125940524</v>
      </c>
      <c r="E117" s="103">
        <v>122209624</v>
      </c>
    </row>
    <row r="118" spans="1:5" ht="12" customHeight="1">
      <c r="A118" s="196" t="s">
        <v>73</v>
      </c>
      <c r="B118" s="10" t="s">
        <v>274</v>
      </c>
      <c r="C118" s="167"/>
      <c r="D118" s="255"/>
      <c r="E118" s="103">
        <v>109270800</v>
      </c>
    </row>
    <row r="119" spans="1:5" ht="12" customHeight="1">
      <c r="A119" s="196" t="s">
        <v>74</v>
      </c>
      <c r="B119" s="111" t="s">
        <v>147</v>
      </c>
      <c r="C119" s="167">
        <v>2834934</v>
      </c>
      <c r="D119" s="255">
        <v>2834934</v>
      </c>
      <c r="E119" s="103"/>
    </row>
    <row r="120" spans="1:5" ht="12" customHeight="1">
      <c r="A120" s="196" t="s">
        <v>81</v>
      </c>
      <c r="B120" s="110" t="s">
        <v>334</v>
      </c>
      <c r="C120" s="167"/>
      <c r="D120" s="255"/>
      <c r="E120" s="103"/>
    </row>
    <row r="121" spans="1:5" ht="12" customHeight="1">
      <c r="A121" s="196" t="s">
        <v>83</v>
      </c>
      <c r="B121" s="175" t="s">
        <v>279</v>
      </c>
      <c r="C121" s="167"/>
      <c r="D121" s="255"/>
      <c r="E121" s="103"/>
    </row>
    <row r="122" spans="1:5" ht="12" customHeight="1">
      <c r="A122" s="196" t="s">
        <v>129</v>
      </c>
      <c r="B122" s="63" t="s">
        <v>262</v>
      </c>
      <c r="C122" s="167"/>
      <c r="D122" s="255"/>
      <c r="E122" s="103"/>
    </row>
    <row r="123" spans="1:5" ht="12" customHeight="1">
      <c r="A123" s="196" t="s">
        <v>130</v>
      </c>
      <c r="B123" s="63" t="s">
        <v>278</v>
      </c>
      <c r="C123" s="167"/>
      <c r="D123" s="255"/>
      <c r="E123" s="103"/>
    </row>
    <row r="124" spans="1:5" ht="12" customHeight="1">
      <c r="A124" s="196" t="s">
        <v>131</v>
      </c>
      <c r="B124" s="63" t="s">
        <v>277</v>
      </c>
      <c r="C124" s="167"/>
      <c r="D124" s="255"/>
      <c r="E124" s="103"/>
    </row>
    <row r="125" spans="1:5" ht="12" customHeight="1">
      <c r="A125" s="196" t="s">
        <v>270</v>
      </c>
      <c r="B125" s="63" t="s">
        <v>265</v>
      </c>
      <c r="C125" s="167"/>
      <c r="D125" s="255"/>
      <c r="E125" s="103"/>
    </row>
    <row r="126" spans="1:5" ht="12" customHeight="1">
      <c r="A126" s="196" t="s">
        <v>271</v>
      </c>
      <c r="B126" s="63" t="s">
        <v>276</v>
      </c>
      <c r="C126" s="167"/>
      <c r="D126" s="255"/>
      <c r="E126" s="103"/>
    </row>
    <row r="127" spans="1:5" ht="12" customHeight="1" thickBot="1">
      <c r="A127" s="205" t="s">
        <v>272</v>
      </c>
      <c r="B127" s="63" t="s">
        <v>275</v>
      </c>
      <c r="C127" s="169"/>
      <c r="D127" s="256"/>
      <c r="E127" s="105"/>
    </row>
    <row r="128" spans="1:5" ht="12" customHeight="1" thickBot="1">
      <c r="A128" s="25" t="s">
        <v>8</v>
      </c>
      <c r="B128" s="56" t="s">
        <v>352</v>
      </c>
      <c r="C128" s="166">
        <f>+C93+C114</f>
        <v>476279227</v>
      </c>
      <c r="D128" s="253">
        <f>+D93+D114</f>
        <v>761618395</v>
      </c>
      <c r="E128" s="102">
        <f>+E93+E114</f>
        <v>669399517</v>
      </c>
    </row>
    <row r="129" spans="1:5" ht="12" customHeight="1" thickBot="1">
      <c r="A129" s="25" t="s">
        <v>9</v>
      </c>
      <c r="B129" s="56" t="s">
        <v>353</v>
      </c>
      <c r="C129" s="166">
        <f>+C130+C131+C132</f>
        <v>0</v>
      </c>
      <c r="D129" s="253">
        <f>+D130+D131+D132</f>
        <v>0</v>
      </c>
      <c r="E129" s="102">
        <f>+E130+E131+E132</f>
        <v>0</v>
      </c>
    </row>
    <row r="130" spans="1:5" s="52" customFormat="1" ht="12" customHeight="1">
      <c r="A130" s="196" t="s">
        <v>177</v>
      </c>
      <c r="B130" s="7" t="s">
        <v>407</v>
      </c>
      <c r="C130" s="167"/>
      <c r="D130" s="255"/>
      <c r="E130" s="103"/>
    </row>
    <row r="131" spans="1:5" ht="12" customHeight="1">
      <c r="A131" s="196" t="s">
        <v>178</v>
      </c>
      <c r="B131" s="7" t="s">
        <v>361</v>
      </c>
      <c r="C131" s="167"/>
      <c r="D131" s="255"/>
      <c r="E131" s="103"/>
    </row>
    <row r="132" spans="1:5" ht="12" customHeight="1" thickBot="1">
      <c r="A132" s="205" t="s">
        <v>179</v>
      </c>
      <c r="B132" s="5" t="s">
        <v>406</v>
      </c>
      <c r="C132" s="167"/>
      <c r="D132" s="255"/>
      <c r="E132" s="103"/>
    </row>
    <row r="133" spans="1:5" ht="12" customHeight="1" thickBot="1">
      <c r="A133" s="25" t="s">
        <v>10</v>
      </c>
      <c r="B133" s="56" t="s">
        <v>354</v>
      </c>
      <c r="C133" s="166">
        <f>+C134+C135+C136+C137+C138+C139</f>
        <v>0</v>
      </c>
      <c r="D133" s="253">
        <f>+D134+D135+D136+D137+D138+D139</f>
        <v>0</v>
      </c>
      <c r="E133" s="102">
        <f>+E134+E135+E136+E137+E138+E139</f>
        <v>0</v>
      </c>
    </row>
    <row r="134" spans="1:5" ht="12" customHeight="1">
      <c r="A134" s="196" t="s">
        <v>57</v>
      </c>
      <c r="B134" s="7" t="s">
        <v>363</v>
      </c>
      <c r="C134" s="167"/>
      <c r="D134" s="255"/>
      <c r="E134" s="103"/>
    </row>
    <row r="135" spans="1:5" ht="12" customHeight="1">
      <c r="A135" s="196" t="s">
        <v>58</v>
      </c>
      <c r="B135" s="7" t="s">
        <v>355</v>
      </c>
      <c r="C135" s="167"/>
      <c r="D135" s="255"/>
      <c r="E135" s="103"/>
    </row>
    <row r="136" spans="1:5" ht="12" customHeight="1">
      <c r="A136" s="196" t="s">
        <v>59</v>
      </c>
      <c r="B136" s="7" t="s">
        <v>356</v>
      </c>
      <c r="C136" s="167"/>
      <c r="D136" s="255"/>
      <c r="E136" s="103"/>
    </row>
    <row r="137" spans="1:5" ht="12" customHeight="1">
      <c r="A137" s="196" t="s">
        <v>116</v>
      </c>
      <c r="B137" s="7" t="s">
        <v>405</v>
      </c>
      <c r="C137" s="167"/>
      <c r="D137" s="255"/>
      <c r="E137" s="103"/>
    </row>
    <row r="138" spans="1:5" ht="12" customHeight="1">
      <c r="A138" s="196" t="s">
        <v>117</v>
      </c>
      <c r="B138" s="7" t="s">
        <v>358</v>
      </c>
      <c r="C138" s="167"/>
      <c r="D138" s="255"/>
      <c r="E138" s="103"/>
    </row>
    <row r="139" spans="1:5" s="52" customFormat="1" ht="12" customHeight="1" thickBot="1">
      <c r="A139" s="205" t="s">
        <v>118</v>
      </c>
      <c r="B139" s="5" t="s">
        <v>359</v>
      </c>
      <c r="C139" s="167"/>
      <c r="D139" s="255"/>
      <c r="E139" s="103"/>
    </row>
    <row r="140" spans="1:11" ht="12" customHeight="1" thickBot="1">
      <c r="A140" s="25" t="s">
        <v>11</v>
      </c>
      <c r="B140" s="56" t="s">
        <v>420</v>
      </c>
      <c r="C140" s="172">
        <f>+C141+C142+C144+C145+C143</f>
        <v>157271416</v>
      </c>
      <c r="D140" s="257">
        <f>+D141+D142+D144+D145+D143</f>
        <v>203615251</v>
      </c>
      <c r="E140" s="208">
        <f>+E141+E142+E144+E145+E143</f>
        <v>501027997</v>
      </c>
      <c r="K140" s="95"/>
    </row>
    <row r="141" spans="1:5" ht="12.75">
      <c r="A141" s="196" t="s">
        <v>60</v>
      </c>
      <c r="B141" s="7" t="s">
        <v>280</v>
      </c>
      <c r="C141" s="167"/>
      <c r="D141" s="255"/>
      <c r="E141" s="103"/>
    </row>
    <row r="142" spans="1:5" ht="12" customHeight="1">
      <c r="A142" s="196" t="s">
        <v>61</v>
      </c>
      <c r="B142" s="7" t="s">
        <v>281</v>
      </c>
      <c r="C142" s="167"/>
      <c r="D142" s="255">
        <v>37606457</v>
      </c>
      <c r="E142" s="103">
        <v>37606457</v>
      </c>
    </row>
    <row r="143" spans="1:5" ht="12" customHeight="1">
      <c r="A143" s="196" t="s">
        <v>197</v>
      </c>
      <c r="B143" s="7" t="s">
        <v>419</v>
      </c>
      <c r="C143" s="167">
        <v>157271416</v>
      </c>
      <c r="D143" s="255">
        <v>166008794</v>
      </c>
      <c r="E143" s="103">
        <v>163421540</v>
      </c>
    </row>
    <row r="144" spans="1:5" s="52" customFormat="1" ht="12" customHeight="1">
      <c r="A144" s="196" t="s">
        <v>198</v>
      </c>
      <c r="B144" s="7" t="s">
        <v>368</v>
      </c>
      <c r="C144" s="167"/>
      <c r="D144" s="255"/>
      <c r="E144" s="103">
        <v>300000000</v>
      </c>
    </row>
    <row r="145" spans="1:5" s="52" customFormat="1" ht="12" customHeight="1" thickBot="1">
      <c r="A145" s="205" t="s">
        <v>199</v>
      </c>
      <c r="B145" s="5" t="s">
        <v>297</v>
      </c>
      <c r="C145" s="167"/>
      <c r="D145" s="255"/>
      <c r="E145" s="103"/>
    </row>
    <row r="146" spans="1:5" s="52" customFormat="1" ht="12" customHeight="1" thickBot="1">
      <c r="A146" s="25" t="s">
        <v>12</v>
      </c>
      <c r="B146" s="56" t="s">
        <v>369</v>
      </c>
      <c r="C146" s="246">
        <f>+C147+C148+C149+C150+C151</f>
        <v>0</v>
      </c>
      <c r="D146" s="258">
        <f>+D147+D148+D149+D150+D151</f>
        <v>0</v>
      </c>
      <c r="E146" s="240">
        <f>+E147+E148+E149+E150+E151</f>
        <v>0</v>
      </c>
    </row>
    <row r="147" spans="1:5" s="52" customFormat="1" ht="12" customHeight="1">
      <c r="A147" s="196" t="s">
        <v>62</v>
      </c>
      <c r="B147" s="7" t="s">
        <v>364</v>
      </c>
      <c r="C147" s="167"/>
      <c r="D147" s="255"/>
      <c r="E147" s="103"/>
    </row>
    <row r="148" spans="1:5" s="52" customFormat="1" ht="12" customHeight="1">
      <c r="A148" s="196" t="s">
        <v>63</v>
      </c>
      <c r="B148" s="7" t="s">
        <v>371</v>
      </c>
      <c r="C148" s="167"/>
      <c r="D148" s="255"/>
      <c r="E148" s="103"/>
    </row>
    <row r="149" spans="1:5" s="52" customFormat="1" ht="12" customHeight="1">
      <c r="A149" s="196" t="s">
        <v>209</v>
      </c>
      <c r="B149" s="7" t="s">
        <v>366</v>
      </c>
      <c r="C149" s="167"/>
      <c r="D149" s="255"/>
      <c r="E149" s="103"/>
    </row>
    <row r="150" spans="1:5" s="52" customFormat="1" ht="12" customHeight="1">
      <c r="A150" s="196" t="s">
        <v>210</v>
      </c>
      <c r="B150" s="7" t="s">
        <v>408</v>
      </c>
      <c r="C150" s="167"/>
      <c r="D150" s="255"/>
      <c r="E150" s="103"/>
    </row>
    <row r="151" spans="1:5" ht="12.75" customHeight="1" thickBot="1">
      <c r="A151" s="205" t="s">
        <v>370</v>
      </c>
      <c r="B151" s="5" t="s">
        <v>373</v>
      </c>
      <c r="C151" s="169"/>
      <c r="D151" s="256"/>
      <c r="E151" s="105"/>
    </row>
    <row r="152" spans="1:5" ht="12.75" customHeight="1" thickBot="1">
      <c r="A152" s="235" t="s">
        <v>13</v>
      </c>
      <c r="B152" s="56" t="s">
        <v>374</v>
      </c>
      <c r="C152" s="246"/>
      <c r="D152" s="258"/>
      <c r="E152" s="240"/>
    </row>
    <row r="153" spans="1:5" ht="12.75" customHeight="1" thickBot="1">
      <c r="A153" s="235" t="s">
        <v>14</v>
      </c>
      <c r="B153" s="56" t="s">
        <v>375</v>
      </c>
      <c r="C153" s="246"/>
      <c r="D153" s="258"/>
      <c r="E153" s="240"/>
    </row>
    <row r="154" spans="1:5" ht="12" customHeight="1" thickBot="1">
      <c r="A154" s="25" t="s">
        <v>15</v>
      </c>
      <c r="B154" s="56" t="s">
        <v>377</v>
      </c>
      <c r="C154" s="248">
        <f>+C129+C133+C140+C146+C152+C153</f>
        <v>157271416</v>
      </c>
      <c r="D154" s="260">
        <f>+D129+D133+D140+D146+D152+D153</f>
        <v>203615251</v>
      </c>
      <c r="E154" s="242">
        <f>+E129+E133+E140+E146+E152+E153</f>
        <v>501027997</v>
      </c>
    </row>
    <row r="155" spans="1:5" ht="15" customHeight="1" thickBot="1">
      <c r="A155" s="207" t="s">
        <v>16</v>
      </c>
      <c r="B155" s="153" t="s">
        <v>376</v>
      </c>
      <c r="C155" s="248">
        <f>+C128+C154</f>
        <v>633550643</v>
      </c>
      <c r="D155" s="260">
        <f>+D128+D154</f>
        <v>965233646</v>
      </c>
      <c r="E155" s="242">
        <f>+E128+E154</f>
        <v>1170427514</v>
      </c>
    </row>
    <row r="156" spans="1:5" ht="13.5" thickBot="1">
      <c r="A156" s="156"/>
      <c r="B156" s="157"/>
      <c r="C156" s="724">
        <f>C90-C155</f>
        <v>0</v>
      </c>
      <c r="D156" s="724">
        <f>D90-D155</f>
        <v>0</v>
      </c>
      <c r="E156" s="158"/>
    </row>
    <row r="157" spans="1:5" ht="15" customHeight="1" thickBot="1">
      <c r="A157" s="330" t="s">
        <v>497</v>
      </c>
      <c r="B157" s="331"/>
      <c r="C157" s="319">
        <v>184</v>
      </c>
      <c r="D157" s="319">
        <v>184</v>
      </c>
      <c r="E157" s="318">
        <v>154</v>
      </c>
    </row>
    <row r="158" spans="1:5" ht="14.25" customHeight="1" thickBot="1">
      <c r="A158" s="332" t="s">
        <v>498</v>
      </c>
      <c r="B158" s="333"/>
      <c r="C158" s="319">
        <v>150</v>
      </c>
      <c r="D158" s="319">
        <v>150</v>
      </c>
      <c r="E158" s="318">
        <v>106</v>
      </c>
    </row>
  </sheetData>
  <sheetProtection formatCells="0"/>
  <mergeCells count="5">
    <mergeCell ref="B2:D2"/>
    <mergeCell ref="B3:D3"/>
    <mergeCell ref="A7:E7"/>
    <mergeCell ref="A92:E92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20" zoomScaleNormal="120" zoomScaleSheetLayoutView="100" workbookViewId="0" topLeftCell="A1">
      <selection activeCell="E111" sqref="E111"/>
    </sheetView>
  </sheetViews>
  <sheetFormatPr defaultColWidth="9.00390625" defaultRowHeight="12.75"/>
  <cols>
    <col min="1" max="1" width="16.125" style="159" customWidth="1"/>
    <col min="2" max="2" width="62.00390625" style="160" customWidth="1"/>
    <col min="3" max="3" width="14.125" style="161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87"/>
      <c r="B1" s="399"/>
      <c r="C1" s="400"/>
      <c r="D1" s="400"/>
      <c r="E1" s="727" t="str">
        <f>CONCATENATE("6.1.2. melléklet ",Z_ALAPADATOK!A7," ",Z_ALAPADATOK!B7," ",Z_ALAPADATOK!C7," ",Z_ALAPADATOK!D7," ",Z_ALAPADATOK!E7," ",Z_ALAPADATOK!F7," ",Z_ALAPADATOK!G7," ",Z_ALAPADATOK!H7)</f>
        <v>6.1.2. melléklet a 2 / 2019. ( IV.26. ) önkormányzati rendelethez</v>
      </c>
    </row>
    <row r="2" spans="1:5" s="48" customFormat="1" ht="21" customHeight="1" thickBot="1">
      <c r="A2" s="396" t="s">
        <v>45</v>
      </c>
      <c r="B2" s="852" t="str">
        <f>CONCATENATE(Z_ALAPADATOK!A3)</f>
        <v>Kállósemjén Nagyközség Önkormányzata</v>
      </c>
      <c r="C2" s="852"/>
      <c r="D2" s="852"/>
      <c r="E2" s="397" t="s">
        <v>39</v>
      </c>
    </row>
    <row r="3" spans="1:5" s="48" customFormat="1" ht="24.75" thickBot="1">
      <c r="A3" s="396" t="s">
        <v>137</v>
      </c>
      <c r="B3" s="852" t="s">
        <v>326</v>
      </c>
      <c r="C3" s="852"/>
      <c r="D3" s="852"/>
      <c r="E3" s="398" t="s">
        <v>43</v>
      </c>
    </row>
    <row r="4" spans="1:5" s="49" customFormat="1" ht="15.75" customHeight="1" thickBot="1">
      <c r="A4" s="390"/>
      <c r="B4" s="390"/>
      <c r="C4" s="391"/>
      <c r="D4" s="392"/>
      <c r="E4" s="391" t="str">
        <f>'Z_6.1.1.sz.mell'!E4</f>
        <v> Forintban!</v>
      </c>
    </row>
    <row r="5" spans="1:5" ht="24.75" thickBot="1">
      <c r="A5" s="393" t="s">
        <v>138</v>
      </c>
      <c r="B5" s="394" t="s">
        <v>496</v>
      </c>
      <c r="C5" s="394" t="s">
        <v>460</v>
      </c>
      <c r="D5" s="395" t="s">
        <v>461</v>
      </c>
      <c r="E5" s="376" t="str">
        <f>CONCATENATE('Z_6.1.1.sz.mell'!E5)</f>
        <v>Teljesítés
2018. XII. 31.</v>
      </c>
    </row>
    <row r="6" spans="1:5" s="44" customFormat="1" ht="12.75" customHeight="1" thickBot="1">
      <c r="A6" s="74" t="s">
        <v>388</v>
      </c>
      <c r="B6" s="75" t="s">
        <v>389</v>
      </c>
      <c r="C6" s="75" t="s">
        <v>390</v>
      </c>
      <c r="D6" s="313" t="s">
        <v>392</v>
      </c>
      <c r="E6" s="76" t="s">
        <v>391</v>
      </c>
    </row>
    <row r="7" spans="1:5" s="44" customFormat="1" ht="15.75" customHeight="1" thickBot="1">
      <c r="A7" s="849" t="s">
        <v>40</v>
      </c>
      <c r="B7" s="850"/>
      <c r="C7" s="850"/>
      <c r="D7" s="850"/>
      <c r="E7" s="851"/>
    </row>
    <row r="8" spans="1:5" s="44" customFormat="1" ht="12" customHeight="1" thickBot="1">
      <c r="A8" s="25" t="s">
        <v>6</v>
      </c>
      <c r="B8" s="19" t="s">
        <v>162</v>
      </c>
      <c r="C8" s="166">
        <f>+C9+C10+C11+C12+C13+C14</f>
        <v>0</v>
      </c>
      <c r="D8" s="253">
        <f>+D9+D10+D11+D12+D13+D14</f>
        <v>0</v>
      </c>
      <c r="E8" s="102">
        <f>+E9+E10+E11+E12+E13+E14</f>
        <v>5442680</v>
      </c>
    </row>
    <row r="9" spans="1:5" s="50" customFormat="1" ht="12" customHeight="1">
      <c r="A9" s="196" t="s">
        <v>64</v>
      </c>
      <c r="B9" s="179" t="s">
        <v>163</v>
      </c>
      <c r="C9" s="168"/>
      <c r="D9" s="254"/>
      <c r="E9" s="104"/>
    </row>
    <row r="10" spans="1:5" s="51" customFormat="1" ht="12" customHeight="1">
      <c r="A10" s="197" t="s">
        <v>65</v>
      </c>
      <c r="B10" s="180" t="s">
        <v>164</v>
      </c>
      <c r="C10" s="167"/>
      <c r="D10" s="255"/>
      <c r="E10" s="103"/>
    </row>
    <row r="11" spans="1:5" s="51" customFormat="1" ht="12" customHeight="1">
      <c r="A11" s="197" t="s">
        <v>66</v>
      </c>
      <c r="B11" s="180" t="s">
        <v>165</v>
      </c>
      <c r="C11" s="167"/>
      <c r="D11" s="255"/>
      <c r="E11" s="103"/>
    </row>
    <row r="12" spans="1:5" s="51" customFormat="1" ht="12" customHeight="1">
      <c r="A12" s="197" t="s">
        <v>67</v>
      </c>
      <c r="B12" s="180" t="s">
        <v>166</v>
      </c>
      <c r="C12" s="167"/>
      <c r="D12" s="255"/>
      <c r="E12" s="103"/>
    </row>
    <row r="13" spans="1:5" s="51" customFormat="1" ht="12" customHeight="1">
      <c r="A13" s="197" t="s">
        <v>99</v>
      </c>
      <c r="B13" s="180" t="s">
        <v>396</v>
      </c>
      <c r="C13" s="167"/>
      <c r="D13" s="255"/>
      <c r="E13" s="103">
        <v>5442680</v>
      </c>
    </row>
    <row r="14" spans="1:5" s="50" customFormat="1" ht="12" customHeight="1" thickBot="1">
      <c r="A14" s="198" t="s">
        <v>68</v>
      </c>
      <c r="B14" s="181" t="s">
        <v>337</v>
      </c>
      <c r="C14" s="167"/>
      <c r="D14" s="255"/>
      <c r="E14" s="103"/>
    </row>
    <row r="15" spans="1:5" s="50" customFormat="1" ht="12" customHeight="1" thickBot="1">
      <c r="A15" s="25" t="s">
        <v>7</v>
      </c>
      <c r="B15" s="109" t="s">
        <v>167</v>
      </c>
      <c r="C15" s="166">
        <f>+C16+C17+C18+C19+C20</f>
        <v>0</v>
      </c>
      <c r="D15" s="253">
        <f>+D16+D17+D18+D19+D20</f>
        <v>0</v>
      </c>
      <c r="E15" s="102">
        <f>+E16+E17+E18+E19+E20</f>
        <v>0</v>
      </c>
    </row>
    <row r="16" spans="1:5" s="50" customFormat="1" ht="12" customHeight="1">
      <c r="A16" s="196" t="s">
        <v>70</v>
      </c>
      <c r="B16" s="179" t="s">
        <v>168</v>
      </c>
      <c r="C16" s="168"/>
      <c r="D16" s="254"/>
      <c r="E16" s="104"/>
    </row>
    <row r="17" spans="1:5" s="50" customFormat="1" ht="12" customHeight="1">
      <c r="A17" s="197" t="s">
        <v>71</v>
      </c>
      <c r="B17" s="180" t="s">
        <v>169</v>
      </c>
      <c r="C17" s="167"/>
      <c r="D17" s="255"/>
      <c r="E17" s="103"/>
    </row>
    <row r="18" spans="1:5" s="50" customFormat="1" ht="12" customHeight="1">
      <c r="A18" s="197" t="s">
        <v>72</v>
      </c>
      <c r="B18" s="180" t="s">
        <v>328</v>
      </c>
      <c r="C18" s="167"/>
      <c r="D18" s="255"/>
      <c r="E18" s="103"/>
    </row>
    <row r="19" spans="1:5" s="50" customFormat="1" ht="12" customHeight="1">
      <c r="A19" s="197" t="s">
        <v>73</v>
      </c>
      <c r="B19" s="180" t="s">
        <v>329</v>
      </c>
      <c r="C19" s="167"/>
      <c r="D19" s="255"/>
      <c r="E19" s="103"/>
    </row>
    <row r="20" spans="1:5" s="50" customFormat="1" ht="12" customHeight="1">
      <c r="A20" s="197" t="s">
        <v>74</v>
      </c>
      <c r="B20" s="180" t="s">
        <v>170</v>
      </c>
      <c r="C20" s="167"/>
      <c r="D20" s="255"/>
      <c r="E20" s="103"/>
    </row>
    <row r="21" spans="1:5" s="51" customFormat="1" ht="12" customHeight="1" thickBot="1">
      <c r="A21" s="198" t="s">
        <v>81</v>
      </c>
      <c r="B21" s="181" t="s">
        <v>171</v>
      </c>
      <c r="C21" s="169"/>
      <c r="D21" s="256"/>
      <c r="E21" s="105"/>
    </row>
    <row r="22" spans="1:5" s="51" customFormat="1" ht="12" customHeight="1" thickBot="1">
      <c r="A22" s="25" t="s">
        <v>8</v>
      </c>
      <c r="B22" s="19" t="s">
        <v>172</v>
      </c>
      <c r="C22" s="166">
        <f>+C23+C24+C25+C26+C27</f>
        <v>0</v>
      </c>
      <c r="D22" s="253">
        <f>+D23+D24+D25+D26+D27</f>
        <v>0</v>
      </c>
      <c r="E22" s="102">
        <f>+E23+E24+E25+E26+E27</f>
        <v>0</v>
      </c>
    </row>
    <row r="23" spans="1:5" s="51" customFormat="1" ht="12" customHeight="1">
      <c r="A23" s="196" t="s">
        <v>53</v>
      </c>
      <c r="B23" s="179" t="s">
        <v>173</v>
      </c>
      <c r="C23" s="168"/>
      <c r="D23" s="254"/>
      <c r="E23" s="104"/>
    </row>
    <row r="24" spans="1:5" s="50" customFormat="1" ht="12" customHeight="1">
      <c r="A24" s="197" t="s">
        <v>54</v>
      </c>
      <c r="B24" s="180" t="s">
        <v>174</v>
      </c>
      <c r="C24" s="167"/>
      <c r="D24" s="255"/>
      <c r="E24" s="103"/>
    </row>
    <row r="25" spans="1:5" s="51" customFormat="1" ht="12" customHeight="1">
      <c r="A25" s="197" t="s">
        <v>55</v>
      </c>
      <c r="B25" s="180" t="s">
        <v>330</v>
      </c>
      <c r="C25" s="167"/>
      <c r="D25" s="255"/>
      <c r="E25" s="103"/>
    </row>
    <row r="26" spans="1:5" s="51" customFormat="1" ht="12" customHeight="1">
      <c r="A26" s="197" t="s">
        <v>56</v>
      </c>
      <c r="B26" s="180" t="s">
        <v>331</v>
      </c>
      <c r="C26" s="167"/>
      <c r="D26" s="255"/>
      <c r="E26" s="103"/>
    </row>
    <row r="27" spans="1:5" s="51" customFormat="1" ht="12" customHeight="1">
      <c r="A27" s="197" t="s">
        <v>112</v>
      </c>
      <c r="B27" s="180" t="s">
        <v>175</v>
      </c>
      <c r="C27" s="167"/>
      <c r="D27" s="255"/>
      <c r="E27" s="103"/>
    </row>
    <row r="28" spans="1:5" s="51" customFormat="1" ht="12" customHeight="1" thickBot="1">
      <c r="A28" s="198" t="s">
        <v>113</v>
      </c>
      <c r="B28" s="181" t="s">
        <v>176</v>
      </c>
      <c r="C28" s="169"/>
      <c r="D28" s="256"/>
      <c r="E28" s="105"/>
    </row>
    <row r="29" spans="1:5" s="51" customFormat="1" ht="12" customHeight="1" thickBot="1">
      <c r="A29" s="25" t="s">
        <v>114</v>
      </c>
      <c r="B29" s="19" t="s">
        <v>487</v>
      </c>
      <c r="C29" s="172">
        <f>SUM(C30:C36)</f>
        <v>0</v>
      </c>
      <c r="D29" s="172">
        <f>SUM(D30:D36)</f>
        <v>0</v>
      </c>
      <c r="E29" s="208">
        <f>SUM(E30:E36)</f>
        <v>0</v>
      </c>
    </row>
    <row r="30" spans="1:5" s="51" customFormat="1" ht="12" customHeight="1">
      <c r="A30" s="196" t="s">
        <v>177</v>
      </c>
      <c r="B30" s="179" t="s">
        <v>488</v>
      </c>
      <c r="C30" s="168">
        <f>+C31+C32+C33</f>
        <v>0</v>
      </c>
      <c r="D30" s="168">
        <f>+D31+D32+D33</f>
        <v>0</v>
      </c>
      <c r="E30" s="104">
        <f>+E31+E32+E33</f>
        <v>0</v>
      </c>
    </row>
    <row r="31" spans="1:5" s="51" customFormat="1" ht="12" customHeight="1">
      <c r="A31" s="197" t="s">
        <v>178</v>
      </c>
      <c r="B31" s="180" t="s">
        <v>489</v>
      </c>
      <c r="C31" s="167"/>
      <c r="D31" s="167"/>
      <c r="E31" s="103"/>
    </row>
    <row r="32" spans="1:5" s="51" customFormat="1" ht="12" customHeight="1">
      <c r="A32" s="197" t="s">
        <v>179</v>
      </c>
      <c r="B32" s="180" t="s">
        <v>490</v>
      </c>
      <c r="C32" s="167"/>
      <c r="D32" s="167"/>
      <c r="E32" s="103"/>
    </row>
    <row r="33" spans="1:5" s="51" customFormat="1" ht="12" customHeight="1">
      <c r="A33" s="197" t="s">
        <v>180</v>
      </c>
      <c r="B33" s="180" t="s">
        <v>491</v>
      </c>
      <c r="C33" s="167"/>
      <c r="D33" s="167"/>
      <c r="E33" s="103"/>
    </row>
    <row r="34" spans="1:5" s="51" customFormat="1" ht="12" customHeight="1">
      <c r="A34" s="197" t="s">
        <v>492</v>
      </c>
      <c r="B34" s="180" t="s">
        <v>181</v>
      </c>
      <c r="C34" s="167"/>
      <c r="D34" s="167"/>
      <c r="E34" s="103"/>
    </row>
    <row r="35" spans="1:5" s="51" customFormat="1" ht="12" customHeight="1">
      <c r="A35" s="197" t="s">
        <v>493</v>
      </c>
      <c r="B35" s="180" t="s">
        <v>182</v>
      </c>
      <c r="C35" s="167"/>
      <c r="D35" s="167"/>
      <c r="E35" s="103"/>
    </row>
    <row r="36" spans="1:5" s="51" customFormat="1" ht="12" customHeight="1" thickBot="1">
      <c r="A36" s="198" t="s">
        <v>494</v>
      </c>
      <c r="B36" s="329" t="s">
        <v>183</v>
      </c>
      <c r="C36" s="169"/>
      <c r="D36" s="169"/>
      <c r="E36" s="105"/>
    </row>
    <row r="37" spans="1:5" s="51" customFormat="1" ht="12" customHeight="1" thickBot="1">
      <c r="A37" s="25" t="s">
        <v>10</v>
      </c>
      <c r="B37" s="19" t="s">
        <v>338</v>
      </c>
      <c r="C37" s="166">
        <f>SUM(C38:C48)</f>
        <v>0</v>
      </c>
      <c r="D37" s="253">
        <f>SUM(D38:D48)</f>
        <v>0</v>
      </c>
      <c r="E37" s="102">
        <f>SUM(E38:E48)</f>
        <v>0</v>
      </c>
    </row>
    <row r="38" spans="1:5" s="51" customFormat="1" ht="12" customHeight="1">
      <c r="A38" s="196" t="s">
        <v>57</v>
      </c>
      <c r="B38" s="179" t="s">
        <v>186</v>
      </c>
      <c r="C38" s="168"/>
      <c r="D38" s="254"/>
      <c r="E38" s="104"/>
    </row>
    <row r="39" spans="1:5" s="51" customFormat="1" ht="12" customHeight="1">
      <c r="A39" s="197" t="s">
        <v>58</v>
      </c>
      <c r="B39" s="180" t="s">
        <v>187</v>
      </c>
      <c r="C39" s="167"/>
      <c r="D39" s="255"/>
      <c r="E39" s="103"/>
    </row>
    <row r="40" spans="1:5" s="51" customFormat="1" ht="12" customHeight="1">
      <c r="A40" s="197" t="s">
        <v>59</v>
      </c>
      <c r="B40" s="180" t="s">
        <v>188</v>
      </c>
      <c r="C40" s="167"/>
      <c r="D40" s="255"/>
      <c r="E40" s="103"/>
    </row>
    <row r="41" spans="1:5" s="51" customFormat="1" ht="12" customHeight="1">
      <c r="A41" s="197" t="s">
        <v>116</v>
      </c>
      <c r="B41" s="180" t="s">
        <v>189</v>
      </c>
      <c r="C41" s="167"/>
      <c r="D41" s="255"/>
      <c r="E41" s="103"/>
    </row>
    <row r="42" spans="1:5" s="51" customFormat="1" ht="12" customHeight="1">
      <c r="A42" s="197" t="s">
        <v>117</v>
      </c>
      <c r="B42" s="180" t="s">
        <v>190</v>
      </c>
      <c r="C42" s="167"/>
      <c r="D42" s="255"/>
      <c r="E42" s="103"/>
    </row>
    <row r="43" spans="1:5" s="51" customFormat="1" ht="12" customHeight="1">
      <c r="A43" s="197" t="s">
        <v>118</v>
      </c>
      <c r="B43" s="180" t="s">
        <v>191</v>
      </c>
      <c r="C43" s="167"/>
      <c r="D43" s="255"/>
      <c r="E43" s="103"/>
    </row>
    <row r="44" spans="1:5" s="51" customFormat="1" ht="12" customHeight="1">
      <c r="A44" s="197" t="s">
        <v>119</v>
      </c>
      <c r="B44" s="180" t="s">
        <v>192</v>
      </c>
      <c r="C44" s="167"/>
      <c r="D44" s="255"/>
      <c r="E44" s="103"/>
    </row>
    <row r="45" spans="1:5" s="51" customFormat="1" ht="12" customHeight="1">
      <c r="A45" s="197" t="s">
        <v>120</v>
      </c>
      <c r="B45" s="180" t="s">
        <v>495</v>
      </c>
      <c r="C45" s="167"/>
      <c r="D45" s="255"/>
      <c r="E45" s="103"/>
    </row>
    <row r="46" spans="1:5" s="51" customFormat="1" ht="12" customHeight="1">
      <c r="A46" s="197" t="s">
        <v>184</v>
      </c>
      <c r="B46" s="180" t="s">
        <v>194</v>
      </c>
      <c r="C46" s="170"/>
      <c r="D46" s="314"/>
      <c r="E46" s="106"/>
    </row>
    <row r="47" spans="1:5" s="51" customFormat="1" ht="12" customHeight="1">
      <c r="A47" s="198" t="s">
        <v>185</v>
      </c>
      <c r="B47" s="181" t="s">
        <v>340</v>
      </c>
      <c r="C47" s="171"/>
      <c r="D47" s="315"/>
      <c r="E47" s="107"/>
    </row>
    <row r="48" spans="1:5" s="51" customFormat="1" ht="12" customHeight="1" thickBot="1">
      <c r="A48" s="198" t="s">
        <v>339</v>
      </c>
      <c r="B48" s="181" t="s">
        <v>195</v>
      </c>
      <c r="C48" s="171"/>
      <c r="D48" s="315"/>
      <c r="E48" s="107"/>
    </row>
    <row r="49" spans="1:5" s="51" customFormat="1" ht="12" customHeight="1" thickBot="1">
      <c r="A49" s="25" t="s">
        <v>11</v>
      </c>
      <c r="B49" s="19" t="s">
        <v>196</v>
      </c>
      <c r="C49" s="166">
        <f>SUM(C50:C54)</f>
        <v>0</v>
      </c>
      <c r="D49" s="253">
        <f>SUM(D50:D54)</f>
        <v>0</v>
      </c>
      <c r="E49" s="102">
        <f>SUM(E50:E54)</f>
        <v>0</v>
      </c>
    </row>
    <row r="50" spans="1:5" s="51" customFormat="1" ht="12" customHeight="1">
      <c r="A50" s="196" t="s">
        <v>60</v>
      </c>
      <c r="B50" s="179" t="s">
        <v>200</v>
      </c>
      <c r="C50" s="219"/>
      <c r="D50" s="316"/>
      <c r="E50" s="108"/>
    </row>
    <row r="51" spans="1:5" s="51" customFormat="1" ht="12" customHeight="1">
      <c r="A51" s="197" t="s">
        <v>61</v>
      </c>
      <c r="B51" s="180" t="s">
        <v>201</v>
      </c>
      <c r="C51" s="170"/>
      <c r="D51" s="314"/>
      <c r="E51" s="106"/>
    </row>
    <row r="52" spans="1:5" s="51" customFormat="1" ht="12" customHeight="1">
      <c r="A52" s="197" t="s">
        <v>197</v>
      </c>
      <c r="B52" s="180" t="s">
        <v>202</v>
      </c>
      <c r="C52" s="170"/>
      <c r="D52" s="314"/>
      <c r="E52" s="106"/>
    </row>
    <row r="53" spans="1:5" s="51" customFormat="1" ht="12" customHeight="1">
      <c r="A53" s="197" t="s">
        <v>198</v>
      </c>
      <c r="B53" s="180" t="s">
        <v>203</v>
      </c>
      <c r="C53" s="170"/>
      <c r="D53" s="314"/>
      <c r="E53" s="106"/>
    </row>
    <row r="54" spans="1:5" s="51" customFormat="1" ht="12" customHeight="1" thickBot="1">
      <c r="A54" s="198" t="s">
        <v>199</v>
      </c>
      <c r="B54" s="181" t="s">
        <v>204</v>
      </c>
      <c r="C54" s="171"/>
      <c r="D54" s="315"/>
      <c r="E54" s="107"/>
    </row>
    <row r="55" spans="1:5" s="51" customFormat="1" ht="12" customHeight="1" thickBot="1">
      <c r="A55" s="25" t="s">
        <v>121</v>
      </c>
      <c r="B55" s="19" t="s">
        <v>205</v>
      </c>
      <c r="C55" s="166">
        <f>SUM(C56:C58)</f>
        <v>0</v>
      </c>
      <c r="D55" s="253">
        <f>SUM(D56:D58)</f>
        <v>0</v>
      </c>
      <c r="E55" s="102">
        <f>SUM(E56:E58)</f>
        <v>0</v>
      </c>
    </row>
    <row r="56" spans="1:5" s="51" customFormat="1" ht="12" customHeight="1">
      <c r="A56" s="196" t="s">
        <v>62</v>
      </c>
      <c r="B56" s="179" t="s">
        <v>206</v>
      </c>
      <c r="C56" s="168"/>
      <c r="D56" s="254"/>
      <c r="E56" s="104"/>
    </row>
    <row r="57" spans="1:5" s="51" customFormat="1" ht="12" customHeight="1">
      <c r="A57" s="197" t="s">
        <v>63</v>
      </c>
      <c r="B57" s="180" t="s">
        <v>332</v>
      </c>
      <c r="C57" s="167"/>
      <c r="D57" s="255"/>
      <c r="E57" s="103"/>
    </row>
    <row r="58" spans="1:5" s="51" customFormat="1" ht="12" customHeight="1">
      <c r="A58" s="197" t="s">
        <v>209</v>
      </c>
      <c r="B58" s="180" t="s">
        <v>207</v>
      </c>
      <c r="C58" s="167"/>
      <c r="D58" s="255"/>
      <c r="E58" s="103"/>
    </row>
    <row r="59" spans="1:5" s="51" customFormat="1" ht="12" customHeight="1" thickBot="1">
      <c r="A59" s="198" t="s">
        <v>210</v>
      </c>
      <c r="B59" s="181" t="s">
        <v>208</v>
      </c>
      <c r="C59" s="169"/>
      <c r="D59" s="256"/>
      <c r="E59" s="105"/>
    </row>
    <row r="60" spans="1:5" s="51" customFormat="1" ht="12" customHeight="1" thickBot="1">
      <c r="A60" s="25" t="s">
        <v>13</v>
      </c>
      <c r="B60" s="109" t="s">
        <v>211</v>
      </c>
      <c r="C60" s="166">
        <f>SUM(C61:C63)</f>
        <v>0</v>
      </c>
      <c r="D60" s="253">
        <f>SUM(D61:D63)</f>
        <v>0</v>
      </c>
      <c r="E60" s="102">
        <f>SUM(E61:E63)</f>
        <v>0</v>
      </c>
    </row>
    <row r="61" spans="1:5" s="51" customFormat="1" ht="12" customHeight="1">
      <c r="A61" s="196" t="s">
        <v>122</v>
      </c>
      <c r="B61" s="179" t="s">
        <v>213</v>
      </c>
      <c r="C61" s="170"/>
      <c r="D61" s="314"/>
      <c r="E61" s="106"/>
    </row>
    <row r="62" spans="1:5" s="51" customFormat="1" ht="12" customHeight="1">
      <c r="A62" s="197" t="s">
        <v>123</v>
      </c>
      <c r="B62" s="180" t="s">
        <v>333</v>
      </c>
      <c r="C62" s="170"/>
      <c r="D62" s="314"/>
      <c r="E62" s="106"/>
    </row>
    <row r="63" spans="1:5" s="51" customFormat="1" ht="12" customHeight="1">
      <c r="A63" s="197" t="s">
        <v>146</v>
      </c>
      <c r="B63" s="180" t="s">
        <v>214</v>
      </c>
      <c r="C63" s="170"/>
      <c r="D63" s="314"/>
      <c r="E63" s="106"/>
    </row>
    <row r="64" spans="1:5" s="51" customFormat="1" ht="12" customHeight="1" thickBot="1">
      <c r="A64" s="198" t="s">
        <v>212</v>
      </c>
      <c r="B64" s="181" t="s">
        <v>215</v>
      </c>
      <c r="C64" s="170"/>
      <c r="D64" s="314"/>
      <c r="E64" s="106"/>
    </row>
    <row r="65" spans="1:5" s="51" customFormat="1" ht="12" customHeight="1" thickBot="1">
      <c r="A65" s="25" t="s">
        <v>14</v>
      </c>
      <c r="B65" s="19" t="s">
        <v>216</v>
      </c>
      <c r="C65" s="172">
        <f>+C8+C15+C22+C29+C37+C49+C55+C60</f>
        <v>0</v>
      </c>
      <c r="D65" s="257">
        <f>+D8+D15+D22+D29+D37+D49+D55+D60</f>
        <v>0</v>
      </c>
      <c r="E65" s="208">
        <f>+E8+E15+E22+E29+E37+E49+E55+E60</f>
        <v>5442680</v>
      </c>
    </row>
    <row r="66" spans="1:5" s="51" customFormat="1" ht="12" customHeight="1" thickBot="1">
      <c r="A66" s="199" t="s">
        <v>301</v>
      </c>
      <c r="B66" s="109" t="s">
        <v>218</v>
      </c>
      <c r="C66" s="166">
        <f>SUM(C67:C69)</f>
        <v>0</v>
      </c>
      <c r="D66" s="253">
        <f>SUM(D67:D69)</f>
        <v>0</v>
      </c>
      <c r="E66" s="102">
        <f>SUM(E67:E69)</f>
        <v>0</v>
      </c>
    </row>
    <row r="67" spans="1:5" s="51" customFormat="1" ht="12" customHeight="1">
      <c r="A67" s="196" t="s">
        <v>246</v>
      </c>
      <c r="B67" s="179" t="s">
        <v>219</v>
      </c>
      <c r="C67" s="170"/>
      <c r="D67" s="314"/>
      <c r="E67" s="106"/>
    </row>
    <row r="68" spans="1:5" s="51" customFormat="1" ht="12" customHeight="1">
      <c r="A68" s="197" t="s">
        <v>255</v>
      </c>
      <c r="B68" s="180" t="s">
        <v>220</v>
      </c>
      <c r="C68" s="170"/>
      <c r="D68" s="314"/>
      <c r="E68" s="106"/>
    </row>
    <row r="69" spans="1:5" s="51" customFormat="1" ht="12" customHeight="1" thickBot="1">
      <c r="A69" s="198" t="s">
        <v>256</v>
      </c>
      <c r="B69" s="182" t="s">
        <v>221</v>
      </c>
      <c r="C69" s="170"/>
      <c r="D69" s="317"/>
      <c r="E69" s="106"/>
    </row>
    <row r="70" spans="1:5" s="51" customFormat="1" ht="12" customHeight="1" thickBot="1">
      <c r="A70" s="199" t="s">
        <v>222</v>
      </c>
      <c r="B70" s="109" t="s">
        <v>223</v>
      </c>
      <c r="C70" s="166">
        <f>SUM(C71:C74)</f>
        <v>0</v>
      </c>
      <c r="D70" s="166">
        <f>SUM(D71:D74)</f>
        <v>0</v>
      </c>
      <c r="E70" s="102">
        <f>SUM(E71:E74)</f>
        <v>0</v>
      </c>
    </row>
    <row r="71" spans="1:5" s="51" customFormat="1" ht="12" customHeight="1">
      <c r="A71" s="196" t="s">
        <v>100</v>
      </c>
      <c r="B71" s="367" t="s">
        <v>224</v>
      </c>
      <c r="C71" s="170"/>
      <c r="D71" s="170"/>
      <c r="E71" s="106"/>
    </row>
    <row r="72" spans="1:5" s="51" customFormat="1" ht="12" customHeight="1">
      <c r="A72" s="197" t="s">
        <v>101</v>
      </c>
      <c r="B72" s="367" t="s">
        <v>502</v>
      </c>
      <c r="C72" s="170"/>
      <c r="D72" s="170"/>
      <c r="E72" s="106"/>
    </row>
    <row r="73" spans="1:5" s="51" customFormat="1" ht="12" customHeight="1">
      <c r="A73" s="197" t="s">
        <v>247</v>
      </c>
      <c r="B73" s="367" t="s">
        <v>225</v>
      </c>
      <c r="C73" s="170"/>
      <c r="D73" s="170"/>
      <c r="E73" s="106"/>
    </row>
    <row r="74" spans="1:5" s="51" customFormat="1" ht="12" customHeight="1" thickBot="1">
      <c r="A74" s="198" t="s">
        <v>248</v>
      </c>
      <c r="B74" s="368" t="s">
        <v>503</v>
      </c>
      <c r="C74" s="170"/>
      <c r="D74" s="170"/>
      <c r="E74" s="106"/>
    </row>
    <row r="75" spans="1:5" s="51" customFormat="1" ht="12" customHeight="1" thickBot="1">
      <c r="A75" s="199" t="s">
        <v>226</v>
      </c>
      <c r="B75" s="109" t="s">
        <v>227</v>
      </c>
      <c r="C75" s="166">
        <f>SUM(C76:C77)</f>
        <v>0</v>
      </c>
      <c r="D75" s="166">
        <f>SUM(D76:D77)</f>
        <v>0</v>
      </c>
      <c r="E75" s="102">
        <f>SUM(E76:E77)</f>
        <v>0</v>
      </c>
    </row>
    <row r="76" spans="1:5" s="51" customFormat="1" ht="12" customHeight="1">
      <c r="A76" s="196" t="s">
        <v>249</v>
      </c>
      <c r="B76" s="179" t="s">
        <v>228</v>
      </c>
      <c r="C76" s="170"/>
      <c r="D76" s="170"/>
      <c r="E76" s="106"/>
    </row>
    <row r="77" spans="1:5" s="51" customFormat="1" ht="12" customHeight="1" thickBot="1">
      <c r="A77" s="198" t="s">
        <v>250</v>
      </c>
      <c r="B77" s="181" t="s">
        <v>229</v>
      </c>
      <c r="C77" s="170"/>
      <c r="D77" s="170"/>
      <c r="E77" s="106"/>
    </row>
    <row r="78" spans="1:5" s="50" customFormat="1" ht="12" customHeight="1" thickBot="1">
      <c r="A78" s="199" t="s">
        <v>230</v>
      </c>
      <c r="B78" s="109" t="s">
        <v>231</v>
      </c>
      <c r="C78" s="166">
        <f>SUM(C79:C81)</f>
        <v>0</v>
      </c>
      <c r="D78" s="166">
        <f>SUM(D79:D81)</f>
        <v>0</v>
      </c>
      <c r="E78" s="102">
        <f>SUM(E79:E81)</f>
        <v>0</v>
      </c>
    </row>
    <row r="79" spans="1:5" s="51" customFormat="1" ht="12" customHeight="1">
      <c r="A79" s="196" t="s">
        <v>251</v>
      </c>
      <c r="B79" s="179" t="s">
        <v>232</v>
      </c>
      <c r="C79" s="170"/>
      <c r="D79" s="170"/>
      <c r="E79" s="106"/>
    </row>
    <row r="80" spans="1:5" s="51" customFormat="1" ht="12" customHeight="1">
      <c r="A80" s="197" t="s">
        <v>252</v>
      </c>
      <c r="B80" s="180" t="s">
        <v>233</v>
      </c>
      <c r="C80" s="170"/>
      <c r="D80" s="170"/>
      <c r="E80" s="106"/>
    </row>
    <row r="81" spans="1:5" s="51" customFormat="1" ht="12" customHeight="1" thickBot="1">
      <c r="A81" s="198" t="s">
        <v>253</v>
      </c>
      <c r="B81" s="181" t="s">
        <v>504</v>
      </c>
      <c r="C81" s="170"/>
      <c r="D81" s="170"/>
      <c r="E81" s="106"/>
    </row>
    <row r="82" spans="1:5" s="51" customFormat="1" ht="12" customHeight="1" thickBot="1">
      <c r="A82" s="199" t="s">
        <v>234</v>
      </c>
      <c r="B82" s="109" t="s">
        <v>254</v>
      </c>
      <c r="C82" s="166">
        <f>SUM(C83:C86)</f>
        <v>0</v>
      </c>
      <c r="D82" s="166">
        <f>SUM(D83:D86)</f>
        <v>0</v>
      </c>
      <c r="E82" s="102">
        <f>SUM(E83:E86)</f>
        <v>0</v>
      </c>
    </row>
    <row r="83" spans="1:5" s="51" customFormat="1" ht="12" customHeight="1">
      <c r="A83" s="200" t="s">
        <v>235</v>
      </c>
      <c r="B83" s="179" t="s">
        <v>236</v>
      </c>
      <c r="C83" s="170"/>
      <c r="D83" s="170"/>
      <c r="E83" s="106"/>
    </row>
    <row r="84" spans="1:5" s="51" customFormat="1" ht="12" customHeight="1">
      <c r="A84" s="201" t="s">
        <v>237</v>
      </c>
      <c r="B84" s="180" t="s">
        <v>238</v>
      </c>
      <c r="C84" s="170"/>
      <c r="D84" s="170"/>
      <c r="E84" s="106"/>
    </row>
    <row r="85" spans="1:5" s="51" customFormat="1" ht="12" customHeight="1">
      <c r="A85" s="201" t="s">
        <v>239</v>
      </c>
      <c r="B85" s="180" t="s">
        <v>240</v>
      </c>
      <c r="C85" s="170"/>
      <c r="D85" s="170"/>
      <c r="E85" s="106"/>
    </row>
    <row r="86" spans="1:5" s="50" customFormat="1" ht="12" customHeight="1" thickBot="1">
      <c r="A86" s="202" t="s">
        <v>241</v>
      </c>
      <c r="B86" s="181" t="s">
        <v>242</v>
      </c>
      <c r="C86" s="170"/>
      <c r="D86" s="170"/>
      <c r="E86" s="106"/>
    </row>
    <row r="87" spans="1:5" s="50" customFormat="1" ht="12" customHeight="1" thickBot="1">
      <c r="A87" s="199" t="s">
        <v>243</v>
      </c>
      <c r="B87" s="109" t="s">
        <v>379</v>
      </c>
      <c r="C87" s="222"/>
      <c r="D87" s="222"/>
      <c r="E87" s="223"/>
    </row>
    <row r="88" spans="1:5" s="50" customFormat="1" ht="12" customHeight="1" thickBot="1">
      <c r="A88" s="199" t="s">
        <v>397</v>
      </c>
      <c r="B88" s="109" t="s">
        <v>244</v>
      </c>
      <c r="C88" s="222"/>
      <c r="D88" s="222"/>
      <c r="E88" s="223"/>
    </row>
    <row r="89" spans="1:5" s="50" customFormat="1" ht="12" customHeight="1" thickBot="1">
      <c r="A89" s="199" t="s">
        <v>398</v>
      </c>
      <c r="B89" s="186" t="s">
        <v>382</v>
      </c>
      <c r="C89" s="172">
        <f>+C66+C70+C75+C78+C82+C88+C87</f>
        <v>0</v>
      </c>
      <c r="D89" s="172">
        <f>+D66+D70+D75+D78+D82+D88+D87</f>
        <v>0</v>
      </c>
      <c r="E89" s="208">
        <f>+E66+E70+E75+E78+E82+E88+E87</f>
        <v>0</v>
      </c>
    </row>
    <row r="90" spans="1:5" s="50" customFormat="1" ht="12" customHeight="1" thickBot="1">
      <c r="A90" s="203" t="s">
        <v>399</v>
      </c>
      <c r="B90" s="187" t="s">
        <v>400</v>
      </c>
      <c r="C90" s="172">
        <f>+C65+C89</f>
        <v>0</v>
      </c>
      <c r="D90" s="172">
        <f>+D65+D89</f>
        <v>0</v>
      </c>
      <c r="E90" s="208">
        <f>+E65+E89</f>
        <v>5442680</v>
      </c>
    </row>
    <row r="91" spans="1:3" s="51" customFormat="1" ht="15" customHeight="1" thickBot="1">
      <c r="A91" s="86"/>
      <c r="B91" s="87"/>
      <c r="C91" s="148"/>
    </row>
    <row r="92" spans="1:5" s="44" customFormat="1" ht="16.5" customHeight="1" thickBot="1">
      <c r="A92" s="849" t="s">
        <v>41</v>
      </c>
      <c r="B92" s="850"/>
      <c r="C92" s="850"/>
      <c r="D92" s="850"/>
      <c r="E92" s="851"/>
    </row>
    <row r="93" spans="1:5" s="52" customFormat="1" ht="12" customHeight="1" thickBot="1">
      <c r="A93" s="173" t="s">
        <v>6</v>
      </c>
      <c r="B93" s="24" t="s">
        <v>404</v>
      </c>
      <c r="C93" s="165">
        <f>+C94+C95+C96+C97+C98+C111</f>
        <v>0</v>
      </c>
      <c r="D93" s="165">
        <f>+D94+D95+D96+D97+D98+D111</f>
        <v>0</v>
      </c>
      <c r="E93" s="236">
        <f>+E94+E95+E96+E97+E98+E111</f>
        <v>5442680</v>
      </c>
    </row>
    <row r="94" spans="1:5" ht="12" customHeight="1">
      <c r="A94" s="204" t="s">
        <v>64</v>
      </c>
      <c r="B94" s="8" t="s">
        <v>35</v>
      </c>
      <c r="C94" s="243"/>
      <c r="D94" s="243"/>
      <c r="E94" s="237"/>
    </row>
    <row r="95" spans="1:5" ht="12" customHeight="1">
      <c r="A95" s="197" t="s">
        <v>65</v>
      </c>
      <c r="B95" s="6" t="s">
        <v>124</v>
      </c>
      <c r="C95" s="167"/>
      <c r="D95" s="167"/>
      <c r="E95" s="103"/>
    </row>
    <row r="96" spans="1:5" ht="12" customHeight="1">
      <c r="A96" s="197" t="s">
        <v>66</v>
      </c>
      <c r="B96" s="6" t="s">
        <v>92</v>
      </c>
      <c r="C96" s="169"/>
      <c r="D96" s="167"/>
      <c r="E96" s="105">
        <v>187680</v>
      </c>
    </row>
    <row r="97" spans="1:5" ht="12" customHeight="1">
      <c r="A97" s="197" t="s">
        <v>67</v>
      </c>
      <c r="B97" s="9" t="s">
        <v>125</v>
      </c>
      <c r="C97" s="169"/>
      <c r="D97" s="256"/>
      <c r="E97" s="105"/>
    </row>
    <row r="98" spans="1:5" ht="12" customHeight="1">
      <c r="A98" s="197" t="s">
        <v>76</v>
      </c>
      <c r="B98" s="17" t="s">
        <v>126</v>
      </c>
      <c r="C98" s="169"/>
      <c r="D98" s="256"/>
      <c r="E98" s="105">
        <f>SUM(E99:E111)</f>
        <v>5255000</v>
      </c>
    </row>
    <row r="99" spans="1:5" ht="12" customHeight="1">
      <c r="A99" s="197" t="s">
        <v>68</v>
      </c>
      <c r="B99" s="6" t="s">
        <v>401</v>
      </c>
      <c r="C99" s="169"/>
      <c r="D99" s="256"/>
      <c r="E99" s="105"/>
    </row>
    <row r="100" spans="1:5" ht="12" customHeight="1">
      <c r="A100" s="197" t="s">
        <v>69</v>
      </c>
      <c r="B100" s="62" t="s">
        <v>345</v>
      </c>
      <c r="C100" s="169"/>
      <c r="D100" s="256"/>
      <c r="E100" s="105"/>
    </row>
    <row r="101" spans="1:5" ht="12" customHeight="1">
      <c r="A101" s="197" t="s">
        <v>77</v>
      </c>
      <c r="B101" s="62" t="s">
        <v>344</v>
      </c>
      <c r="C101" s="169"/>
      <c r="D101" s="256"/>
      <c r="E101" s="105"/>
    </row>
    <row r="102" spans="1:5" ht="12" customHeight="1">
      <c r="A102" s="197" t="s">
        <v>78</v>
      </c>
      <c r="B102" s="62" t="s">
        <v>260</v>
      </c>
      <c r="C102" s="169"/>
      <c r="D102" s="256"/>
      <c r="E102" s="105"/>
    </row>
    <row r="103" spans="1:5" ht="12" customHeight="1">
      <c r="A103" s="197" t="s">
        <v>79</v>
      </c>
      <c r="B103" s="63" t="s">
        <v>261</v>
      </c>
      <c r="C103" s="169"/>
      <c r="D103" s="256"/>
      <c r="E103" s="105"/>
    </row>
    <row r="104" spans="1:5" ht="12" customHeight="1">
      <c r="A104" s="197" t="s">
        <v>80</v>
      </c>
      <c r="B104" s="63" t="s">
        <v>262</v>
      </c>
      <c r="C104" s="169"/>
      <c r="D104" s="256"/>
      <c r="E104" s="105"/>
    </row>
    <row r="105" spans="1:5" ht="12" customHeight="1">
      <c r="A105" s="197" t="s">
        <v>82</v>
      </c>
      <c r="B105" s="62" t="s">
        <v>263</v>
      </c>
      <c r="C105" s="169"/>
      <c r="D105" s="256"/>
      <c r="E105" s="105"/>
    </row>
    <row r="106" spans="1:5" ht="12" customHeight="1">
      <c r="A106" s="197" t="s">
        <v>127</v>
      </c>
      <c r="B106" s="62" t="s">
        <v>264</v>
      </c>
      <c r="C106" s="169"/>
      <c r="D106" s="256"/>
      <c r="E106" s="105"/>
    </row>
    <row r="107" spans="1:5" ht="12" customHeight="1">
      <c r="A107" s="197" t="s">
        <v>258</v>
      </c>
      <c r="B107" s="63" t="s">
        <v>265</v>
      </c>
      <c r="C107" s="167"/>
      <c r="D107" s="256"/>
      <c r="E107" s="105">
        <v>3635000</v>
      </c>
    </row>
    <row r="108" spans="1:5" ht="12" customHeight="1">
      <c r="A108" s="205" t="s">
        <v>259</v>
      </c>
      <c r="B108" s="64" t="s">
        <v>266</v>
      </c>
      <c r="C108" s="169"/>
      <c r="D108" s="256"/>
      <c r="E108" s="105"/>
    </row>
    <row r="109" spans="1:5" ht="12" customHeight="1">
      <c r="A109" s="197" t="s">
        <v>342</v>
      </c>
      <c r="B109" s="64" t="s">
        <v>267</v>
      </c>
      <c r="C109" s="169"/>
      <c r="D109" s="256"/>
      <c r="E109" s="105"/>
    </row>
    <row r="110" spans="1:5" ht="12" customHeight="1">
      <c r="A110" s="197" t="s">
        <v>343</v>
      </c>
      <c r="B110" s="63" t="s">
        <v>268</v>
      </c>
      <c r="C110" s="167"/>
      <c r="D110" s="255"/>
      <c r="E110" s="103">
        <v>1620000</v>
      </c>
    </row>
    <row r="111" spans="1:5" ht="12" customHeight="1">
      <c r="A111" s="197" t="s">
        <v>347</v>
      </c>
      <c r="B111" s="9" t="s">
        <v>36</v>
      </c>
      <c r="C111" s="167"/>
      <c r="D111" s="255"/>
      <c r="E111" s="103"/>
    </row>
    <row r="112" spans="1:5" ht="12" customHeight="1">
      <c r="A112" s="198" t="s">
        <v>348</v>
      </c>
      <c r="B112" s="6" t="s">
        <v>402</v>
      </c>
      <c r="C112" s="169"/>
      <c r="D112" s="256"/>
      <c r="E112" s="105"/>
    </row>
    <row r="113" spans="1:5" ht="12" customHeight="1" thickBot="1">
      <c r="A113" s="206" t="s">
        <v>349</v>
      </c>
      <c r="B113" s="65" t="s">
        <v>403</v>
      </c>
      <c r="C113" s="244"/>
      <c r="D113" s="320"/>
      <c r="E113" s="238"/>
    </row>
    <row r="114" spans="1:5" ht="12" customHeight="1" thickBot="1">
      <c r="A114" s="25" t="s">
        <v>7</v>
      </c>
      <c r="B114" s="23" t="s">
        <v>269</v>
      </c>
      <c r="C114" s="166">
        <f>+C115+C117+C119</f>
        <v>0</v>
      </c>
      <c r="D114" s="253">
        <f>+D115+D117+D119</f>
        <v>0</v>
      </c>
      <c r="E114" s="102">
        <f>+E115+E117+E119</f>
        <v>0</v>
      </c>
    </row>
    <row r="115" spans="1:5" ht="12" customHeight="1">
      <c r="A115" s="196" t="s">
        <v>70</v>
      </c>
      <c r="B115" s="6" t="s">
        <v>145</v>
      </c>
      <c r="C115" s="168"/>
      <c r="D115" s="254"/>
      <c r="E115" s="104"/>
    </row>
    <row r="116" spans="1:5" ht="12" customHeight="1">
      <c r="A116" s="196" t="s">
        <v>71</v>
      </c>
      <c r="B116" s="10" t="s">
        <v>273</v>
      </c>
      <c r="C116" s="168"/>
      <c r="D116" s="254"/>
      <c r="E116" s="104"/>
    </row>
    <row r="117" spans="1:5" ht="12" customHeight="1">
      <c r="A117" s="196" t="s">
        <v>72</v>
      </c>
      <c r="B117" s="10" t="s">
        <v>128</v>
      </c>
      <c r="C117" s="167"/>
      <c r="D117" s="255"/>
      <c r="E117" s="103"/>
    </row>
    <row r="118" spans="1:5" ht="12" customHeight="1">
      <c r="A118" s="196" t="s">
        <v>73</v>
      </c>
      <c r="B118" s="10" t="s">
        <v>274</v>
      </c>
      <c r="C118" s="167"/>
      <c r="D118" s="255"/>
      <c r="E118" s="103"/>
    </row>
    <row r="119" spans="1:5" ht="12" customHeight="1">
      <c r="A119" s="196" t="s">
        <v>74</v>
      </c>
      <c r="B119" s="111" t="s">
        <v>147</v>
      </c>
      <c r="C119" s="167"/>
      <c r="D119" s="255"/>
      <c r="E119" s="103"/>
    </row>
    <row r="120" spans="1:5" ht="12" customHeight="1">
      <c r="A120" s="196" t="s">
        <v>81</v>
      </c>
      <c r="B120" s="110" t="s">
        <v>334</v>
      </c>
      <c r="C120" s="167"/>
      <c r="D120" s="255"/>
      <c r="E120" s="103"/>
    </row>
    <row r="121" spans="1:5" ht="12" customHeight="1">
      <c r="A121" s="196" t="s">
        <v>83</v>
      </c>
      <c r="B121" s="175" t="s">
        <v>279</v>
      </c>
      <c r="C121" s="167"/>
      <c r="D121" s="255"/>
      <c r="E121" s="103"/>
    </row>
    <row r="122" spans="1:5" ht="12" customHeight="1">
      <c r="A122" s="196" t="s">
        <v>129</v>
      </c>
      <c r="B122" s="63" t="s">
        <v>262</v>
      </c>
      <c r="C122" s="167"/>
      <c r="D122" s="255"/>
      <c r="E122" s="103"/>
    </row>
    <row r="123" spans="1:5" ht="12" customHeight="1">
      <c r="A123" s="196" t="s">
        <v>130</v>
      </c>
      <c r="B123" s="63" t="s">
        <v>278</v>
      </c>
      <c r="C123" s="167"/>
      <c r="D123" s="255"/>
      <c r="E123" s="103"/>
    </row>
    <row r="124" spans="1:5" ht="12" customHeight="1">
      <c r="A124" s="196" t="s">
        <v>131</v>
      </c>
      <c r="B124" s="63" t="s">
        <v>277</v>
      </c>
      <c r="C124" s="167"/>
      <c r="D124" s="255"/>
      <c r="E124" s="103"/>
    </row>
    <row r="125" spans="1:5" ht="12" customHeight="1">
      <c r="A125" s="196" t="s">
        <v>270</v>
      </c>
      <c r="B125" s="63" t="s">
        <v>265</v>
      </c>
      <c r="C125" s="167"/>
      <c r="D125" s="255"/>
      <c r="E125" s="103"/>
    </row>
    <row r="126" spans="1:5" ht="12" customHeight="1">
      <c r="A126" s="196" t="s">
        <v>271</v>
      </c>
      <c r="B126" s="63" t="s">
        <v>276</v>
      </c>
      <c r="C126" s="167"/>
      <c r="D126" s="255"/>
      <c r="E126" s="103"/>
    </row>
    <row r="127" spans="1:5" ht="12" customHeight="1" thickBot="1">
      <c r="A127" s="205" t="s">
        <v>272</v>
      </c>
      <c r="B127" s="63" t="s">
        <v>275</v>
      </c>
      <c r="C127" s="169"/>
      <c r="D127" s="256"/>
      <c r="E127" s="105"/>
    </row>
    <row r="128" spans="1:5" ht="12" customHeight="1" thickBot="1">
      <c r="A128" s="25" t="s">
        <v>8</v>
      </c>
      <c r="B128" s="56" t="s">
        <v>352</v>
      </c>
      <c r="C128" s="166">
        <f>+C93+C114</f>
        <v>0</v>
      </c>
      <c r="D128" s="253">
        <f>+D93+D114</f>
        <v>0</v>
      </c>
      <c r="E128" s="102">
        <f>+E93+E114</f>
        <v>5442680</v>
      </c>
    </row>
    <row r="129" spans="1:5" ht="12" customHeight="1" thickBot="1">
      <c r="A129" s="25" t="s">
        <v>9</v>
      </c>
      <c r="B129" s="56" t="s">
        <v>353</v>
      </c>
      <c r="C129" s="166">
        <f>+C130+C131+C132</f>
        <v>0</v>
      </c>
      <c r="D129" s="253">
        <f>+D130+D131+D132</f>
        <v>0</v>
      </c>
      <c r="E129" s="102">
        <f>+E130+E131+E132</f>
        <v>0</v>
      </c>
    </row>
    <row r="130" spans="1:5" s="52" customFormat="1" ht="12" customHeight="1">
      <c r="A130" s="196" t="s">
        <v>177</v>
      </c>
      <c r="B130" s="7" t="s">
        <v>407</v>
      </c>
      <c r="C130" s="167"/>
      <c r="D130" s="255"/>
      <c r="E130" s="103"/>
    </row>
    <row r="131" spans="1:5" ht="12" customHeight="1">
      <c r="A131" s="196" t="s">
        <v>178</v>
      </c>
      <c r="B131" s="7" t="s">
        <v>361</v>
      </c>
      <c r="C131" s="167"/>
      <c r="D131" s="255"/>
      <c r="E131" s="103"/>
    </row>
    <row r="132" spans="1:5" ht="12" customHeight="1" thickBot="1">
      <c r="A132" s="205" t="s">
        <v>179</v>
      </c>
      <c r="B132" s="5" t="s">
        <v>406</v>
      </c>
      <c r="C132" s="167"/>
      <c r="D132" s="255"/>
      <c r="E132" s="103"/>
    </row>
    <row r="133" spans="1:5" ht="12" customHeight="1" thickBot="1">
      <c r="A133" s="25" t="s">
        <v>10</v>
      </c>
      <c r="B133" s="56" t="s">
        <v>354</v>
      </c>
      <c r="C133" s="166">
        <f>+C134+C135+C136+C137+C138+C139</f>
        <v>0</v>
      </c>
      <c r="D133" s="253">
        <f>+D134+D135+D136+D137+D138+D139</f>
        <v>0</v>
      </c>
      <c r="E133" s="102">
        <f>+E134+E135+E136+E137+E138+E139</f>
        <v>0</v>
      </c>
    </row>
    <row r="134" spans="1:5" ht="12" customHeight="1">
      <c r="A134" s="196" t="s">
        <v>57</v>
      </c>
      <c r="B134" s="7" t="s">
        <v>363</v>
      </c>
      <c r="C134" s="167"/>
      <c r="D134" s="255"/>
      <c r="E134" s="103"/>
    </row>
    <row r="135" spans="1:5" ht="12" customHeight="1">
      <c r="A135" s="196" t="s">
        <v>58</v>
      </c>
      <c r="B135" s="7" t="s">
        <v>355</v>
      </c>
      <c r="C135" s="167"/>
      <c r="D135" s="255"/>
      <c r="E135" s="103"/>
    </row>
    <row r="136" spans="1:5" ht="12" customHeight="1">
      <c r="A136" s="196" t="s">
        <v>59</v>
      </c>
      <c r="B136" s="7" t="s">
        <v>356</v>
      </c>
      <c r="C136" s="167"/>
      <c r="D136" s="255"/>
      <c r="E136" s="103"/>
    </row>
    <row r="137" spans="1:5" ht="12" customHeight="1">
      <c r="A137" s="196" t="s">
        <v>116</v>
      </c>
      <c r="B137" s="7" t="s">
        <v>405</v>
      </c>
      <c r="C137" s="167"/>
      <c r="D137" s="255"/>
      <c r="E137" s="103"/>
    </row>
    <row r="138" spans="1:5" ht="12" customHeight="1">
      <c r="A138" s="196" t="s">
        <v>117</v>
      </c>
      <c r="B138" s="7" t="s">
        <v>358</v>
      </c>
      <c r="C138" s="167"/>
      <c r="D138" s="255"/>
      <c r="E138" s="103"/>
    </row>
    <row r="139" spans="1:5" s="52" customFormat="1" ht="12" customHeight="1" thickBot="1">
      <c r="A139" s="205" t="s">
        <v>118</v>
      </c>
      <c r="B139" s="5" t="s">
        <v>359</v>
      </c>
      <c r="C139" s="167"/>
      <c r="D139" s="255"/>
      <c r="E139" s="103"/>
    </row>
    <row r="140" spans="1:11" ht="12" customHeight="1" thickBot="1">
      <c r="A140" s="25" t="s">
        <v>11</v>
      </c>
      <c r="B140" s="56" t="s">
        <v>420</v>
      </c>
      <c r="C140" s="172">
        <f>+C141+C142+C144+C145+C143</f>
        <v>0</v>
      </c>
      <c r="D140" s="257">
        <f>+D141+D142+D144+D145+D143</f>
        <v>0</v>
      </c>
      <c r="E140" s="208">
        <f>+E141+E142+E144+E145+E143</f>
        <v>0</v>
      </c>
      <c r="K140" s="95"/>
    </row>
    <row r="141" spans="1:5" ht="12.75">
      <c r="A141" s="196" t="s">
        <v>60</v>
      </c>
      <c r="B141" s="7" t="s">
        <v>280</v>
      </c>
      <c r="C141" s="167"/>
      <c r="D141" s="255"/>
      <c r="E141" s="103"/>
    </row>
    <row r="142" spans="1:5" ht="12" customHeight="1">
      <c r="A142" s="196" t="s">
        <v>61</v>
      </c>
      <c r="B142" s="7" t="s">
        <v>281</v>
      </c>
      <c r="C142" s="167"/>
      <c r="D142" s="255"/>
      <c r="E142" s="103"/>
    </row>
    <row r="143" spans="1:5" ht="12" customHeight="1">
      <c r="A143" s="196" t="s">
        <v>197</v>
      </c>
      <c r="B143" s="7" t="s">
        <v>419</v>
      </c>
      <c r="C143" s="167"/>
      <c r="D143" s="255"/>
      <c r="E143" s="103"/>
    </row>
    <row r="144" spans="1:5" s="52" customFormat="1" ht="12" customHeight="1">
      <c r="A144" s="196" t="s">
        <v>198</v>
      </c>
      <c r="B144" s="7" t="s">
        <v>368</v>
      </c>
      <c r="C144" s="167"/>
      <c r="D144" s="255"/>
      <c r="E144" s="103"/>
    </row>
    <row r="145" spans="1:5" s="52" customFormat="1" ht="12" customHeight="1" thickBot="1">
      <c r="A145" s="205" t="s">
        <v>199</v>
      </c>
      <c r="B145" s="5" t="s">
        <v>297</v>
      </c>
      <c r="C145" s="167"/>
      <c r="D145" s="255"/>
      <c r="E145" s="103"/>
    </row>
    <row r="146" spans="1:5" s="52" customFormat="1" ht="12" customHeight="1" thickBot="1">
      <c r="A146" s="25" t="s">
        <v>12</v>
      </c>
      <c r="B146" s="56" t="s">
        <v>369</v>
      </c>
      <c r="C146" s="246">
        <f>+C147+C148+C149+C150+C151</f>
        <v>0</v>
      </c>
      <c r="D146" s="258">
        <f>+D147+D148+D149+D150+D151</f>
        <v>0</v>
      </c>
      <c r="E146" s="240">
        <f>+E147+E148+E149+E150+E151</f>
        <v>0</v>
      </c>
    </row>
    <row r="147" spans="1:5" s="52" customFormat="1" ht="12" customHeight="1">
      <c r="A147" s="196" t="s">
        <v>62</v>
      </c>
      <c r="B147" s="7" t="s">
        <v>364</v>
      </c>
      <c r="C147" s="167"/>
      <c r="D147" s="255"/>
      <c r="E147" s="103"/>
    </row>
    <row r="148" spans="1:5" s="52" customFormat="1" ht="12" customHeight="1">
      <c r="A148" s="196" t="s">
        <v>63</v>
      </c>
      <c r="B148" s="7" t="s">
        <v>371</v>
      </c>
      <c r="C148" s="167"/>
      <c r="D148" s="255"/>
      <c r="E148" s="103"/>
    </row>
    <row r="149" spans="1:5" s="52" customFormat="1" ht="12" customHeight="1">
      <c r="A149" s="196" t="s">
        <v>209</v>
      </c>
      <c r="B149" s="7" t="s">
        <v>366</v>
      </c>
      <c r="C149" s="167"/>
      <c r="D149" s="255"/>
      <c r="E149" s="103"/>
    </row>
    <row r="150" spans="1:5" s="52" customFormat="1" ht="12" customHeight="1">
      <c r="A150" s="196" t="s">
        <v>210</v>
      </c>
      <c r="B150" s="7" t="s">
        <v>408</v>
      </c>
      <c r="C150" s="167"/>
      <c r="D150" s="255"/>
      <c r="E150" s="103"/>
    </row>
    <row r="151" spans="1:5" ht="12.75" customHeight="1" thickBot="1">
      <c r="A151" s="205" t="s">
        <v>370</v>
      </c>
      <c r="B151" s="5" t="s">
        <v>373</v>
      </c>
      <c r="C151" s="169"/>
      <c r="D151" s="256"/>
      <c r="E151" s="105"/>
    </row>
    <row r="152" spans="1:5" ht="12.75" customHeight="1" thickBot="1">
      <c r="A152" s="235" t="s">
        <v>13</v>
      </c>
      <c r="B152" s="56" t="s">
        <v>374</v>
      </c>
      <c r="C152" s="246"/>
      <c r="D152" s="258"/>
      <c r="E152" s="240"/>
    </row>
    <row r="153" spans="1:5" ht="12.75" customHeight="1" thickBot="1">
      <c r="A153" s="235" t="s">
        <v>14</v>
      </c>
      <c r="B153" s="56" t="s">
        <v>375</v>
      </c>
      <c r="C153" s="246"/>
      <c r="D153" s="258"/>
      <c r="E153" s="240"/>
    </row>
    <row r="154" spans="1:5" ht="12" customHeight="1" thickBot="1">
      <c r="A154" s="25" t="s">
        <v>15</v>
      </c>
      <c r="B154" s="56" t="s">
        <v>377</v>
      </c>
      <c r="C154" s="248">
        <f>+C129+C133+C140+C146+C152+C153</f>
        <v>0</v>
      </c>
      <c r="D154" s="260">
        <f>+D129+D133+D140+D146+D152+D153</f>
        <v>0</v>
      </c>
      <c r="E154" s="242">
        <f>+E129+E133+E140+E146+E152+E153</f>
        <v>0</v>
      </c>
    </row>
    <row r="155" spans="1:5" ht="15" customHeight="1" thickBot="1">
      <c r="A155" s="207" t="s">
        <v>16</v>
      </c>
      <c r="B155" s="153" t="s">
        <v>376</v>
      </c>
      <c r="C155" s="248">
        <f>+C128+C154</f>
        <v>0</v>
      </c>
      <c r="D155" s="260">
        <f>+D128+D154</f>
        <v>0</v>
      </c>
      <c r="E155" s="242">
        <f>+E128+E154</f>
        <v>5442680</v>
      </c>
    </row>
    <row r="156" spans="1:5" ht="13.5" thickBot="1">
      <c r="A156" s="156"/>
      <c r="B156" s="157"/>
      <c r="C156" s="724">
        <f>C90-C155</f>
        <v>0</v>
      </c>
      <c r="D156" s="724">
        <f>D90-D155</f>
        <v>0</v>
      </c>
      <c r="E156" s="158"/>
    </row>
    <row r="157" spans="1:5" ht="15" customHeight="1" thickBot="1">
      <c r="A157" s="330" t="s">
        <v>497</v>
      </c>
      <c r="B157" s="331"/>
      <c r="C157" s="319"/>
      <c r="D157" s="319"/>
      <c r="E157" s="318"/>
    </row>
    <row r="158" spans="1:5" ht="14.25" customHeight="1" thickBot="1">
      <c r="A158" s="332" t="s">
        <v>498</v>
      </c>
      <c r="B158" s="333"/>
      <c r="C158" s="319"/>
      <c r="D158" s="319"/>
      <c r="E158" s="318"/>
    </row>
  </sheetData>
  <sheetProtection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20" zoomScaleNormal="120" zoomScaleSheetLayoutView="100" workbookViewId="0" topLeftCell="A1">
      <selection activeCell="E158" sqref="E158"/>
    </sheetView>
  </sheetViews>
  <sheetFormatPr defaultColWidth="9.00390625" defaultRowHeight="12.75"/>
  <cols>
    <col min="1" max="1" width="16.125" style="159" customWidth="1"/>
    <col min="2" max="2" width="62.00390625" style="160" customWidth="1"/>
    <col min="3" max="3" width="14.125" style="161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87"/>
      <c r="B1" s="853" t="str">
        <f>CONCATENATE("6.1.3. melléklet ",Z_ALAPADATOK!A7," ",Z_ALAPADATOK!B7," ",Z_ALAPADATOK!C7," ",Z_ALAPADATOK!D7," ",Z_ALAPADATOK!E7," ",Z_ALAPADATOK!F7," ",Z_ALAPADATOK!G7," ",Z_ALAPADATOK!H7)</f>
        <v>6.1.3. melléklet a 2 / 2019. ( IV.26. ) önkormányzati rendelethez</v>
      </c>
      <c r="C1" s="854"/>
      <c r="D1" s="854"/>
      <c r="E1" s="854"/>
    </row>
    <row r="2" spans="1:5" s="48" customFormat="1" ht="21" customHeight="1" thickBot="1">
      <c r="A2" s="396" t="s">
        <v>45</v>
      </c>
      <c r="B2" s="852" t="str">
        <f>CONCATENATE(Z_ALAPADATOK!A3)</f>
        <v>Kállósemjén Nagyközség Önkormányzata</v>
      </c>
      <c r="C2" s="852"/>
      <c r="D2" s="852"/>
      <c r="E2" s="397" t="s">
        <v>39</v>
      </c>
    </row>
    <row r="3" spans="1:5" s="48" customFormat="1" ht="24.75" thickBot="1">
      <c r="A3" s="396" t="s">
        <v>137</v>
      </c>
      <c r="B3" s="852" t="s">
        <v>418</v>
      </c>
      <c r="C3" s="852"/>
      <c r="D3" s="852"/>
      <c r="E3" s="398" t="s">
        <v>43</v>
      </c>
    </row>
    <row r="4" spans="1:5" s="49" customFormat="1" ht="15.75" customHeight="1" thickBot="1">
      <c r="A4" s="390"/>
      <c r="B4" s="390"/>
      <c r="C4" s="391"/>
      <c r="D4" s="392"/>
      <c r="E4" s="391" t="str">
        <f>'Z_6.1.2.sz.mell'!E4</f>
        <v> Forintban!</v>
      </c>
    </row>
    <row r="5" spans="1:5" ht="24.75" thickBot="1">
      <c r="A5" s="393" t="s">
        <v>138</v>
      </c>
      <c r="B5" s="394" t="s">
        <v>496</v>
      </c>
      <c r="C5" s="394" t="s">
        <v>460</v>
      </c>
      <c r="D5" s="395" t="s">
        <v>461</v>
      </c>
      <c r="E5" s="376" t="str">
        <f>CONCATENATE('Z_6.1.2.sz.mell'!E5)</f>
        <v>Teljesítés
2018. XII. 31.</v>
      </c>
    </row>
    <row r="6" spans="1:5" s="44" customFormat="1" ht="12.75" customHeight="1" thickBot="1">
      <c r="A6" s="74" t="s">
        <v>388</v>
      </c>
      <c r="B6" s="75" t="s">
        <v>389</v>
      </c>
      <c r="C6" s="75" t="s">
        <v>390</v>
      </c>
      <c r="D6" s="313" t="s">
        <v>392</v>
      </c>
      <c r="E6" s="76" t="s">
        <v>391</v>
      </c>
    </row>
    <row r="7" spans="1:5" s="44" customFormat="1" ht="15.75" customHeight="1" thickBot="1">
      <c r="A7" s="849" t="s">
        <v>40</v>
      </c>
      <c r="B7" s="850"/>
      <c r="C7" s="850"/>
      <c r="D7" s="850"/>
      <c r="E7" s="851"/>
    </row>
    <row r="8" spans="1:5" s="44" customFormat="1" ht="12" customHeight="1" thickBot="1">
      <c r="A8" s="25" t="s">
        <v>6</v>
      </c>
      <c r="B8" s="19" t="s">
        <v>162</v>
      </c>
      <c r="C8" s="166">
        <f>+C9+C10+C11+C12+C13+C14</f>
        <v>0</v>
      </c>
      <c r="D8" s="253">
        <f>+D9+D10+D11+D12+D13+D14</f>
        <v>0</v>
      </c>
      <c r="E8" s="102">
        <f>+E9+E10+E11+E12+E13+E14</f>
        <v>0</v>
      </c>
    </row>
    <row r="9" spans="1:5" s="50" customFormat="1" ht="12" customHeight="1">
      <c r="A9" s="196" t="s">
        <v>64</v>
      </c>
      <c r="B9" s="179" t="s">
        <v>163</v>
      </c>
      <c r="C9" s="168"/>
      <c r="D9" s="254"/>
      <c r="E9" s="104"/>
    </row>
    <row r="10" spans="1:5" s="51" customFormat="1" ht="12" customHeight="1">
      <c r="A10" s="197" t="s">
        <v>65</v>
      </c>
      <c r="B10" s="180" t="s">
        <v>164</v>
      </c>
      <c r="C10" s="167"/>
      <c r="D10" s="255"/>
      <c r="E10" s="103"/>
    </row>
    <row r="11" spans="1:5" s="51" customFormat="1" ht="12" customHeight="1">
      <c r="A11" s="197" t="s">
        <v>66</v>
      </c>
      <c r="B11" s="180" t="s">
        <v>165</v>
      </c>
      <c r="C11" s="167"/>
      <c r="D11" s="255"/>
      <c r="E11" s="103"/>
    </row>
    <row r="12" spans="1:5" s="51" customFormat="1" ht="12" customHeight="1">
      <c r="A12" s="197" t="s">
        <v>67</v>
      </c>
      <c r="B12" s="180" t="s">
        <v>166</v>
      </c>
      <c r="C12" s="167"/>
      <c r="D12" s="255"/>
      <c r="E12" s="103"/>
    </row>
    <row r="13" spans="1:5" s="51" customFormat="1" ht="12" customHeight="1">
      <c r="A13" s="197" t="s">
        <v>99</v>
      </c>
      <c r="B13" s="180" t="s">
        <v>396</v>
      </c>
      <c r="C13" s="167"/>
      <c r="D13" s="255"/>
      <c r="E13" s="103"/>
    </row>
    <row r="14" spans="1:5" s="50" customFormat="1" ht="12" customHeight="1" thickBot="1">
      <c r="A14" s="198" t="s">
        <v>68</v>
      </c>
      <c r="B14" s="181" t="s">
        <v>337</v>
      </c>
      <c r="C14" s="167"/>
      <c r="D14" s="255"/>
      <c r="E14" s="103"/>
    </row>
    <row r="15" spans="1:5" s="50" customFormat="1" ht="12" customHeight="1" thickBot="1">
      <c r="A15" s="25" t="s">
        <v>7</v>
      </c>
      <c r="B15" s="109" t="s">
        <v>167</v>
      </c>
      <c r="C15" s="166">
        <f>+C16+C17+C18+C19+C20</f>
        <v>0</v>
      </c>
      <c r="D15" s="253">
        <f>+D16+D17+D18+D19+D20</f>
        <v>2203388</v>
      </c>
      <c r="E15" s="102">
        <f>+E16+E17+E18+E19+E20</f>
        <v>34839847</v>
      </c>
    </row>
    <row r="16" spans="1:5" s="50" customFormat="1" ht="12" customHeight="1">
      <c r="A16" s="196" t="s">
        <v>70</v>
      </c>
      <c r="B16" s="179" t="s">
        <v>168</v>
      </c>
      <c r="C16" s="168"/>
      <c r="D16" s="254"/>
      <c r="E16" s="104"/>
    </row>
    <row r="17" spans="1:5" s="50" customFormat="1" ht="12" customHeight="1">
      <c r="A17" s="197" t="s">
        <v>71</v>
      </c>
      <c r="B17" s="180" t="s">
        <v>169</v>
      </c>
      <c r="C17" s="167"/>
      <c r="D17" s="255"/>
      <c r="E17" s="103"/>
    </row>
    <row r="18" spans="1:5" s="50" customFormat="1" ht="12" customHeight="1">
      <c r="A18" s="197" t="s">
        <v>72</v>
      </c>
      <c r="B18" s="180" t="s">
        <v>328</v>
      </c>
      <c r="C18" s="167"/>
      <c r="D18" s="255"/>
      <c r="E18" s="103"/>
    </row>
    <row r="19" spans="1:5" s="50" customFormat="1" ht="12" customHeight="1">
      <c r="A19" s="197" t="s">
        <v>73</v>
      </c>
      <c r="B19" s="180" t="s">
        <v>329</v>
      </c>
      <c r="C19" s="167"/>
      <c r="D19" s="255"/>
      <c r="E19" s="103"/>
    </row>
    <row r="20" spans="1:5" s="50" customFormat="1" ht="12" customHeight="1">
      <c r="A20" s="197" t="s">
        <v>74</v>
      </c>
      <c r="B20" s="180" t="s">
        <v>170</v>
      </c>
      <c r="C20" s="167"/>
      <c r="D20" s="255">
        <v>2203388</v>
      </c>
      <c r="E20" s="103">
        <v>34839847</v>
      </c>
    </row>
    <row r="21" spans="1:5" s="51" customFormat="1" ht="12" customHeight="1" thickBot="1">
      <c r="A21" s="198" t="s">
        <v>81</v>
      </c>
      <c r="B21" s="181" t="s">
        <v>171</v>
      </c>
      <c r="C21" s="169"/>
      <c r="D21" s="256"/>
      <c r="E21" s="105">
        <v>33483682</v>
      </c>
    </row>
    <row r="22" spans="1:5" s="51" customFormat="1" ht="12" customHeight="1" thickBot="1">
      <c r="A22" s="25" t="s">
        <v>8</v>
      </c>
      <c r="B22" s="19" t="s">
        <v>172</v>
      </c>
      <c r="C22" s="166">
        <f>+C23+C24+C25+C26+C27</f>
        <v>0</v>
      </c>
      <c r="D22" s="253">
        <f>+D23+D24+D25+D26+D27</f>
        <v>0</v>
      </c>
      <c r="E22" s="102">
        <f>+E23+E24+E25+E26+E27</f>
        <v>0</v>
      </c>
    </row>
    <row r="23" spans="1:5" s="51" customFormat="1" ht="12" customHeight="1">
      <c r="A23" s="196" t="s">
        <v>53</v>
      </c>
      <c r="B23" s="179" t="s">
        <v>173</v>
      </c>
      <c r="C23" s="168"/>
      <c r="D23" s="254"/>
      <c r="E23" s="104"/>
    </row>
    <row r="24" spans="1:5" s="50" customFormat="1" ht="12" customHeight="1">
      <c r="A24" s="197" t="s">
        <v>54</v>
      </c>
      <c r="B24" s="180" t="s">
        <v>174</v>
      </c>
      <c r="C24" s="167"/>
      <c r="D24" s="255"/>
      <c r="E24" s="103"/>
    </row>
    <row r="25" spans="1:5" s="51" customFormat="1" ht="12" customHeight="1">
      <c r="A25" s="197" t="s">
        <v>55</v>
      </c>
      <c r="B25" s="180" t="s">
        <v>330</v>
      </c>
      <c r="C25" s="167"/>
      <c r="D25" s="255"/>
      <c r="E25" s="103"/>
    </row>
    <row r="26" spans="1:5" s="51" customFormat="1" ht="12" customHeight="1">
      <c r="A26" s="197" t="s">
        <v>56</v>
      </c>
      <c r="B26" s="180" t="s">
        <v>331</v>
      </c>
      <c r="C26" s="167"/>
      <c r="D26" s="255"/>
      <c r="E26" s="103"/>
    </row>
    <row r="27" spans="1:5" s="51" customFormat="1" ht="12" customHeight="1">
      <c r="A27" s="197" t="s">
        <v>112</v>
      </c>
      <c r="B27" s="180" t="s">
        <v>175</v>
      </c>
      <c r="C27" s="167"/>
      <c r="D27" s="255"/>
      <c r="E27" s="103"/>
    </row>
    <row r="28" spans="1:5" s="51" customFormat="1" ht="12" customHeight="1" thickBot="1">
      <c r="A28" s="198" t="s">
        <v>113</v>
      </c>
      <c r="B28" s="181" t="s">
        <v>176</v>
      </c>
      <c r="C28" s="169"/>
      <c r="D28" s="256"/>
      <c r="E28" s="105"/>
    </row>
    <row r="29" spans="1:5" s="51" customFormat="1" ht="12" customHeight="1" thickBot="1">
      <c r="A29" s="25" t="s">
        <v>114</v>
      </c>
      <c r="B29" s="19" t="s">
        <v>487</v>
      </c>
      <c r="C29" s="172">
        <f>SUM(C30:C36)</f>
        <v>0</v>
      </c>
      <c r="D29" s="172">
        <f>SUM(D30:D36)</f>
        <v>0</v>
      </c>
      <c r="E29" s="208">
        <f>SUM(E30:E36)</f>
        <v>0</v>
      </c>
    </row>
    <row r="30" spans="1:5" s="51" customFormat="1" ht="12" customHeight="1">
      <c r="A30" s="196" t="s">
        <v>177</v>
      </c>
      <c r="B30" s="179" t="s">
        <v>488</v>
      </c>
      <c r="C30" s="168">
        <f>+C31+C32+C33</f>
        <v>0</v>
      </c>
      <c r="D30" s="168">
        <f>+D31+D32+D33</f>
        <v>0</v>
      </c>
      <c r="E30" s="104">
        <f>+E31+E32+E33</f>
        <v>0</v>
      </c>
    </row>
    <row r="31" spans="1:5" s="51" customFormat="1" ht="12" customHeight="1">
      <c r="A31" s="197" t="s">
        <v>178</v>
      </c>
      <c r="B31" s="180" t="s">
        <v>489</v>
      </c>
      <c r="C31" s="167"/>
      <c r="D31" s="167"/>
      <c r="E31" s="103"/>
    </row>
    <row r="32" spans="1:5" s="51" customFormat="1" ht="12" customHeight="1">
      <c r="A32" s="197" t="s">
        <v>179</v>
      </c>
      <c r="B32" s="180" t="s">
        <v>490</v>
      </c>
      <c r="C32" s="167"/>
      <c r="D32" s="167"/>
      <c r="E32" s="103"/>
    </row>
    <row r="33" spans="1:5" s="51" customFormat="1" ht="12" customHeight="1">
      <c r="A33" s="197" t="s">
        <v>180</v>
      </c>
      <c r="B33" s="180" t="s">
        <v>491</v>
      </c>
      <c r="C33" s="167"/>
      <c r="D33" s="167"/>
      <c r="E33" s="103"/>
    </row>
    <row r="34" spans="1:5" s="51" customFormat="1" ht="12" customHeight="1">
      <c r="A34" s="197" t="s">
        <v>492</v>
      </c>
      <c r="B34" s="180" t="s">
        <v>181</v>
      </c>
      <c r="C34" s="167"/>
      <c r="D34" s="167"/>
      <c r="E34" s="103"/>
    </row>
    <row r="35" spans="1:5" s="51" customFormat="1" ht="12" customHeight="1">
      <c r="A35" s="197" t="s">
        <v>493</v>
      </c>
      <c r="B35" s="180" t="s">
        <v>182</v>
      </c>
      <c r="C35" s="167"/>
      <c r="D35" s="167"/>
      <c r="E35" s="103"/>
    </row>
    <row r="36" spans="1:5" s="51" customFormat="1" ht="12" customHeight="1" thickBot="1">
      <c r="A36" s="198" t="s">
        <v>494</v>
      </c>
      <c r="B36" s="329" t="s">
        <v>183</v>
      </c>
      <c r="C36" s="169"/>
      <c r="D36" s="169"/>
      <c r="E36" s="105"/>
    </row>
    <row r="37" spans="1:5" s="51" customFormat="1" ht="12" customHeight="1" thickBot="1">
      <c r="A37" s="25" t="s">
        <v>10</v>
      </c>
      <c r="B37" s="19" t="s">
        <v>338</v>
      </c>
      <c r="C37" s="166">
        <f>SUM(C38:C48)</f>
        <v>180000</v>
      </c>
      <c r="D37" s="253">
        <f>SUM(D38:D48)</f>
        <v>507530</v>
      </c>
      <c r="E37" s="102">
        <f>SUM(E38:E48)</f>
        <v>508020</v>
      </c>
    </row>
    <row r="38" spans="1:5" s="51" customFormat="1" ht="12" customHeight="1">
      <c r="A38" s="196" t="s">
        <v>57</v>
      </c>
      <c r="B38" s="179" t="s">
        <v>186</v>
      </c>
      <c r="C38" s="168"/>
      <c r="D38" s="254"/>
      <c r="E38" s="104"/>
    </row>
    <row r="39" spans="1:5" s="51" customFormat="1" ht="12" customHeight="1">
      <c r="A39" s="197" t="s">
        <v>58</v>
      </c>
      <c r="B39" s="180" t="s">
        <v>187</v>
      </c>
      <c r="C39" s="167">
        <v>180000</v>
      </c>
      <c r="D39" s="255">
        <v>244860</v>
      </c>
      <c r="E39" s="103">
        <v>244860</v>
      </c>
    </row>
    <row r="40" spans="1:5" s="51" customFormat="1" ht="12" customHeight="1">
      <c r="A40" s="197" t="s">
        <v>59</v>
      </c>
      <c r="B40" s="180" t="s">
        <v>188</v>
      </c>
      <c r="C40" s="167"/>
      <c r="D40" s="255"/>
      <c r="E40" s="103"/>
    </row>
    <row r="41" spans="1:5" s="51" customFormat="1" ht="12" customHeight="1">
      <c r="A41" s="197" t="s">
        <v>116</v>
      </c>
      <c r="B41" s="180" t="s">
        <v>189</v>
      </c>
      <c r="C41" s="167"/>
      <c r="D41" s="255"/>
      <c r="E41" s="103"/>
    </row>
    <row r="42" spans="1:5" s="51" customFormat="1" ht="12" customHeight="1">
      <c r="A42" s="197" t="s">
        <v>117</v>
      </c>
      <c r="B42" s="180" t="s">
        <v>190</v>
      </c>
      <c r="C42" s="167"/>
      <c r="D42" s="255"/>
      <c r="E42" s="103"/>
    </row>
    <row r="43" spans="1:5" s="51" customFormat="1" ht="12" customHeight="1">
      <c r="A43" s="197" t="s">
        <v>118</v>
      </c>
      <c r="B43" s="180" t="s">
        <v>191</v>
      </c>
      <c r="C43" s="167"/>
      <c r="D43" s="255">
        <v>10911</v>
      </c>
      <c r="E43" s="103">
        <v>10911</v>
      </c>
    </row>
    <row r="44" spans="1:5" s="51" customFormat="1" ht="12" customHeight="1">
      <c r="A44" s="197" t="s">
        <v>119</v>
      </c>
      <c r="B44" s="180" t="s">
        <v>192</v>
      </c>
      <c r="C44" s="167"/>
      <c r="D44" s="255"/>
      <c r="E44" s="103"/>
    </row>
    <row r="45" spans="1:5" s="51" customFormat="1" ht="12" customHeight="1">
      <c r="A45" s="197" t="s">
        <v>120</v>
      </c>
      <c r="B45" s="180" t="s">
        <v>495</v>
      </c>
      <c r="C45" s="167"/>
      <c r="D45" s="255">
        <v>19585</v>
      </c>
      <c r="E45" s="103">
        <v>20075</v>
      </c>
    </row>
    <row r="46" spans="1:5" s="51" customFormat="1" ht="12" customHeight="1">
      <c r="A46" s="197" t="s">
        <v>184</v>
      </c>
      <c r="B46" s="180" t="s">
        <v>194</v>
      </c>
      <c r="C46" s="170"/>
      <c r="D46" s="314"/>
      <c r="E46" s="106"/>
    </row>
    <row r="47" spans="1:5" s="51" customFormat="1" ht="12" customHeight="1">
      <c r="A47" s="198" t="s">
        <v>185</v>
      </c>
      <c r="B47" s="181" t="s">
        <v>340</v>
      </c>
      <c r="C47" s="171"/>
      <c r="D47" s="315"/>
      <c r="E47" s="107"/>
    </row>
    <row r="48" spans="1:5" s="51" customFormat="1" ht="12" customHeight="1" thickBot="1">
      <c r="A48" s="198" t="s">
        <v>339</v>
      </c>
      <c r="B48" s="181" t="s">
        <v>195</v>
      </c>
      <c r="C48" s="171"/>
      <c r="D48" s="315">
        <v>232174</v>
      </c>
      <c r="E48" s="107">
        <v>232174</v>
      </c>
    </row>
    <row r="49" spans="1:5" s="51" customFormat="1" ht="12" customHeight="1" thickBot="1">
      <c r="A49" s="25" t="s">
        <v>11</v>
      </c>
      <c r="B49" s="19" t="s">
        <v>196</v>
      </c>
      <c r="C49" s="166">
        <f>SUM(C50:C54)</f>
        <v>0</v>
      </c>
      <c r="D49" s="253">
        <f>SUM(D50:D54)</f>
        <v>0</v>
      </c>
      <c r="E49" s="102">
        <f>SUM(E50:E54)</f>
        <v>0</v>
      </c>
    </row>
    <row r="50" spans="1:5" s="51" customFormat="1" ht="12" customHeight="1">
      <c r="A50" s="196" t="s">
        <v>60</v>
      </c>
      <c r="B50" s="179" t="s">
        <v>200</v>
      </c>
      <c r="C50" s="219"/>
      <c r="D50" s="316"/>
      <c r="E50" s="108"/>
    </row>
    <row r="51" spans="1:5" s="51" customFormat="1" ht="12" customHeight="1">
      <c r="A51" s="197" t="s">
        <v>61</v>
      </c>
      <c r="B51" s="180" t="s">
        <v>201</v>
      </c>
      <c r="C51" s="170"/>
      <c r="D51" s="314"/>
      <c r="E51" s="106"/>
    </row>
    <row r="52" spans="1:5" s="51" customFormat="1" ht="12" customHeight="1">
      <c r="A52" s="197" t="s">
        <v>197</v>
      </c>
      <c r="B52" s="180" t="s">
        <v>202</v>
      </c>
      <c r="C52" s="170"/>
      <c r="D52" s="314"/>
      <c r="E52" s="106"/>
    </row>
    <row r="53" spans="1:5" s="51" customFormat="1" ht="12" customHeight="1">
      <c r="A53" s="197" t="s">
        <v>198</v>
      </c>
      <c r="B53" s="180" t="s">
        <v>203</v>
      </c>
      <c r="C53" s="170"/>
      <c r="D53" s="314"/>
      <c r="E53" s="106"/>
    </row>
    <row r="54" spans="1:5" s="51" customFormat="1" ht="12" customHeight="1" thickBot="1">
      <c r="A54" s="198" t="s">
        <v>199</v>
      </c>
      <c r="B54" s="181" t="s">
        <v>204</v>
      </c>
      <c r="C54" s="171"/>
      <c r="D54" s="315"/>
      <c r="E54" s="107"/>
    </row>
    <row r="55" spans="1:5" s="51" customFormat="1" ht="12" customHeight="1" thickBot="1">
      <c r="A55" s="25" t="s">
        <v>121</v>
      </c>
      <c r="B55" s="19" t="s">
        <v>205</v>
      </c>
      <c r="C55" s="166">
        <f>SUM(C56:C58)</f>
        <v>0</v>
      </c>
      <c r="D55" s="253">
        <f>SUM(D56:D58)</f>
        <v>0</v>
      </c>
      <c r="E55" s="102">
        <f>SUM(E56:E58)</f>
        <v>0</v>
      </c>
    </row>
    <row r="56" spans="1:5" s="51" customFormat="1" ht="12" customHeight="1">
      <c r="A56" s="196" t="s">
        <v>62</v>
      </c>
      <c r="B56" s="179" t="s">
        <v>206</v>
      </c>
      <c r="C56" s="168"/>
      <c r="D56" s="254"/>
      <c r="E56" s="104"/>
    </row>
    <row r="57" spans="1:5" s="51" customFormat="1" ht="12" customHeight="1">
      <c r="A57" s="197" t="s">
        <v>63</v>
      </c>
      <c r="B57" s="180" t="s">
        <v>332</v>
      </c>
      <c r="C57" s="167"/>
      <c r="D57" s="255"/>
      <c r="E57" s="103"/>
    </row>
    <row r="58" spans="1:5" s="51" customFormat="1" ht="12" customHeight="1">
      <c r="A58" s="197" t="s">
        <v>209</v>
      </c>
      <c r="B58" s="180" t="s">
        <v>207</v>
      </c>
      <c r="C58" s="167"/>
      <c r="D58" s="255"/>
      <c r="E58" s="103"/>
    </row>
    <row r="59" spans="1:5" s="51" customFormat="1" ht="12" customHeight="1" thickBot="1">
      <c r="A59" s="198" t="s">
        <v>210</v>
      </c>
      <c r="B59" s="181" t="s">
        <v>208</v>
      </c>
      <c r="C59" s="169"/>
      <c r="D59" s="256"/>
      <c r="E59" s="105"/>
    </row>
    <row r="60" spans="1:5" s="51" customFormat="1" ht="12" customHeight="1" thickBot="1">
      <c r="A60" s="25" t="s">
        <v>13</v>
      </c>
      <c r="B60" s="109" t="s">
        <v>211</v>
      </c>
      <c r="C60" s="166">
        <f>SUM(C61:C63)</f>
        <v>0</v>
      </c>
      <c r="D60" s="253">
        <f>SUM(D61:D63)</f>
        <v>0</v>
      </c>
      <c r="E60" s="102">
        <f>SUM(E61:E63)</f>
        <v>0</v>
      </c>
    </row>
    <row r="61" spans="1:5" s="51" customFormat="1" ht="12" customHeight="1">
      <c r="A61" s="196" t="s">
        <v>122</v>
      </c>
      <c r="B61" s="179" t="s">
        <v>213</v>
      </c>
      <c r="C61" s="170"/>
      <c r="D61" s="314"/>
      <c r="E61" s="106"/>
    </row>
    <row r="62" spans="1:5" s="51" customFormat="1" ht="12" customHeight="1">
      <c r="A62" s="197" t="s">
        <v>123</v>
      </c>
      <c r="B62" s="180" t="s">
        <v>333</v>
      </c>
      <c r="C62" s="170"/>
      <c r="D62" s="314"/>
      <c r="E62" s="106"/>
    </row>
    <row r="63" spans="1:5" s="51" customFormat="1" ht="12" customHeight="1">
      <c r="A63" s="197" t="s">
        <v>146</v>
      </c>
      <c r="B63" s="180" t="s">
        <v>214</v>
      </c>
      <c r="C63" s="170"/>
      <c r="D63" s="314"/>
      <c r="E63" s="106"/>
    </row>
    <row r="64" spans="1:5" s="51" customFormat="1" ht="12" customHeight="1" thickBot="1">
      <c r="A64" s="198" t="s">
        <v>212</v>
      </c>
      <c r="B64" s="181" t="s">
        <v>215</v>
      </c>
      <c r="C64" s="170"/>
      <c r="D64" s="314"/>
      <c r="E64" s="106"/>
    </row>
    <row r="65" spans="1:5" s="51" customFormat="1" ht="12" customHeight="1" thickBot="1">
      <c r="A65" s="25" t="s">
        <v>14</v>
      </c>
      <c r="B65" s="19" t="s">
        <v>216</v>
      </c>
      <c r="C65" s="172">
        <f>+C8+C15+C22+C29+C37+C49+C55+C60</f>
        <v>180000</v>
      </c>
      <c r="D65" s="257">
        <f>+D8+D15+D22+D29+D37+D49+D55+D60</f>
        <v>2710918</v>
      </c>
      <c r="E65" s="208">
        <f>+E8+E15+E22+E29+E37+E49+E55+E60</f>
        <v>35347867</v>
      </c>
    </row>
    <row r="66" spans="1:5" s="51" customFormat="1" ht="12" customHeight="1" thickBot="1">
      <c r="A66" s="199" t="s">
        <v>301</v>
      </c>
      <c r="B66" s="109" t="s">
        <v>218</v>
      </c>
      <c r="C66" s="166">
        <f>SUM(C67:C69)</f>
        <v>0</v>
      </c>
      <c r="D66" s="253">
        <f>SUM(D67:D69)</f>
        <v>0</v>
      </c>
      <c r="E66" s="102">
        <f>SUM(E67:E69)</f>
        <v>0</v>
      </c>
    </row>
    <row r="67" spans="1:5" s="51" customFormat="1" ht="12" customHeight="1">
      <c r="A67" s="196" t="s">
        <v>246</v>
      </c>
      <c r="B67" s="179" t="s">
        <v>219</v>
      </c>
      <c r="C67" s="170"/>
      <c r="D67" s="314"/>
      <c r="E67" s="106"/>
    </row>
    <row r="68" spans="1:5" s="51" customFormat="1" ht="12" customHeight="1">
      <c r="A68" s="197" t="s">
        <v>255</v>
      </c>
      <c r="B68" s="180" t="s">
        <v>220</v>
      </c>
      <c r="C68" s="170"/>
      <c r="D68" s="314"/>
      <c r="E68" s="106"/>
    </row>
    <row r="69" spans="1:5" s="51" customFormat="1" ht="12" customHeight="1" thickBot="1">
      <c r="A69" s="198" t="s">
        <v>256</v>
      </c>
      <c r="B69" s="182" t="s">
        <v>221</v>
      </c>
      <c r="C69" s="170"/>
      <c r="D69" s="317"/>
      <c r="E69" s="106"/>
    </row>
    <row r="70" spans="1:5" s="51" customFormat="1" ht="12" customHeight="1" thickBot="1">
      <c r="A70" s="199" t="s">
        <v>222</v>
      </c>
      <c r="B70" s="109" t="s">
        <v>223</v>
      </c>
      <c r="C70" s="166">
        <f>SUM(C71:C74)</f>
        <v>0</v>
      </c>
      <c r="D70" s="166">
        <f>SUM(D71:D74)</f>
        <v>0</v>
      </c>
      <c r="E70" s="102">
        <f>SUM(E71:E74)</f>
        <v>0</v>
      </c>
    </row>
    <row r="71" spans="1:5" s="51" customFormat="1" ht="12" customHeight="1">
      <c r="A71" s="196" t="s">
        <v>100</v>
      </c>
      <c r="B71" s="367" t="s">
        <v>224</v>
      </c>
      <c r="C71" s="170"/>
      <c r="D71" s="170"/>
      <c r="E71" s="106"/>
    </row>
    <row r="72" spans="1:5" s="51" customFormat="1" ht="12" customHeight="1">
      <c r="A72" s="197" t="s">
        <v>101</v>
      </c>
      <c r="B72" s="367" t="s">
        <v>502</v>
      </c>
      <c r="C72" s="170"/>
      <c r="D72" s="170"/>
      <c r="E72" s="106"/>
    </row>
    <row r="73" spans="1:5" s="51" customFormat="1" ht="12" customHeight="1">
      <c r="A73" s="197" t="s">
        <v>247</v>
      </c>
      <c r="B73" s="367" t="s">
        <v>225</v>
      </c>
      <c r="C73" s="170"/>
      <c r="D73" s="170"/>
      <c r="E73" s="106"/>
    </row>
    <row r="74" spans="1:5" s="51" customFormat="1" ht="12" customHeight="1" thickBot="1">
      <c r="A74" s="198" t="s">
        <v>248</v>
      </c>
      <c r="B74" s="368" t="s">
        <v>503</v>
      </c>
      <c r="C74" s="170"/>
      <c r="D74" s="170"/>
      <c r="E74" s="106"/>
    </row>
    <row r="75" spans="1:5" s="51" customFormat="1" ht="12" customHeight="1" thickBot="1">
      <c r="A75" s="199" t="s">
        <v>226</v>
      </c>
      <c r="B75" s="109" t="s">
        <v>227</v>
      </c>
      <c r="C75" s="166">
        <f>SUM(C76:C77)</f>
        <v>0</v>
      </c>
      <c r="D75" s="166">
        <f>SUM(D76:D77)</f>
        <v>9216009</v>
      </c>
      <c r="E75" s="102">
        <f>SUM(E76:E77)</f>
        <v>9259589</v>
      </c>
    </row>
    <row r="76" spans="1:5" s="51" customFormat="1" ht="12" customHeight="1">
      <c r="A76" s="196" t="s">
        <v>249</v>
      </c>
      <c r="B76" s="179" t="s">
        <v>228</v>
      </c>
      <c r="C76" s="170"/>
      <c r="D76" s="170">
        <v>9216009</v>
      </c>
      <c r="E76" s="106">
        <v>9259589</v>
      </c>
    </row>
    <row r="77" spans="1:5" s="51" customFormat="1" ht="12" customHeight="1" thickBot="1">
      <c r="A77" s="198" t="s">
        <v>250</v>
      </c>
      <c r="B77" s="181" t="s">
        <v>229</v>
      </c>
      <c r="C77" s="170"/>
      <c r="D77" s="170"/>
      <c r="E77" s="106"/>
    </row>
    <row r="78" spans="1:5" s="50" customFormat="1" ht="12" customHeight="1" thickBot="1">
      <c r="A78" s="199" t="s">
        <v>230</v>
      </c>
      <c r="B78" s="109" t="s">
        <v>231</v>
      </c>
      <c r="C78" s="166">
        <f>SUM(C79:C81)</f>
        <v>60076119</v>
      </c>
      <c r="D78" s="166">
        <f>SUM(D79:D81)</f>
        <v>68813497</v>
      </c>
      <c r="E78" s="102">
        <f>SUM(E79:E81)</f>
        <v>68813497</v>
      </c>
    </row>
    <row r="79" spans="1:5" s="51" customFormat="1" ht="12" customHeight="1">
      <c r="A79" s="196" t="s">
        <v>251</v>
      </c>
      <c r="B79" s="179" t="s">
        <v>232</v>
      </c>
      <c r="C79" s="170"/>
      <c r="D79" s="170"/>
      <c r="E79" s="106"/>
    </row>
    <row r="80" spans="1:5" s="51" customFormat="1" ht="12" customHeight="1">
      <c r="A80" s="197" t="s">
        <v>252</v>
      </c>
      <c r="B80" s="180" t="s">
        <v>233</v>
      </c>
      <c r="C80" s="170"/>
      <c r="D80" s="170"/>
      <c r="E80" s="106"/>
    </row>
    <row r="81" spans="1:5" s="51" customFormat="1" ht="12" customHeight="1" thickBot="1">
      <c r="A81" s="198" t="s">
        <v>253</v>
      </c>
      <c r="B81" s="181" t="s">
        <v>900</v>
      </c>
      <c r="C81" s="170">
        <v>60076119</v>
      </c>
      <c r="D81" s="170">
        <v>68813497</v>
      </c>
      <c r="E81" s="106">
        <v>68813497</v>
      </c>
    </row>
    <row r="82" spans="1:5" s="51" customFormat="1" ht="12" customHeight="1" thickBot="1">
      <c r="A82" s="199" t="s">
        <v>234</v>
      </c>
      <c r="B82" s="109" t="s">
        <v>254</v>
      </c>
      <c r="C82" s="166">
        <f>SUM(C83:C86)</f>
        <v>0</v>
      </c>
      <c r="D82" s="166">
        <f>SUM(D83:D86)</f>
        <v>0</v>
      </c>
      <c r="E82" s="102">
        <f>SUM(E83:E86)</f>
        <v>0</v>
      </c>
    </row>
    <row r="83" spans="1:5" s="51" customFormat="1" ht="12" customHeight="1">
      <c r="A83" s="200" t="s">
        <v>235</v>
      </c>
      <c r="B83" s="179" t="s">
        <v>236</v>
      </c>
      <c r="C83" s="170"/>
      <c r="D83" s="170"/>
      <c r="E83" s="106"/>
    </row>
    <row r="84" spans="1:5" s="51" customFormat="1" ht="12" customHeight="1">
      <c r="A84" s="201" t="s">
        <v>237</v>
      </c>
      <c r="B84" s="180" t="s">
        <v>238</v>
      </c>
      <c r="C84" s="170"/>
      <c r="D84" s="170"/>
      <c r="E84" s="106"/>
    </row>
    <row r="85" spans="1:5" s="51" customFormat="1" ht="12" customHeight="1">
      <c r="A85" s="201" t="s">
        <v>239</v>
      </c>
      <c r="B85" s="180" t="s">
        <v>240</v>
      </c>
      <c r="C85" s="170"/>
      <c r="D85" s="170"/>
      <c r="E85" s="106"/>
    </row>
    <row r="86" spans="1:5" s="50" customFormat="1" ht="12" customHeight="1" thickBot="1">
      <c r="A86" s="202" t="s">
        <v>241</v>
      </c>
      <c r="B86" s="181" t="s">
        <v>242</v>
      </c>
      <c r="C86" s="170"/>
      <c r="D86" s="170"/>
      <c r="E86" s="106"/>
    </row>
    <row r="87" spans="1:5" s="50" customFormat="1" ht="12" customHeight="1" thickBot="1">
      <c r="A87" s="199" t="s">
        <v>243</v>
      </c>
      <c r="B87" s="109" t="s">
        <v>379</v>
      </c>
      <c r="C87" s="222"/>
      <c r="D87" s="222"/>
      <c r="E87" s="223"/>
    </row>
    <row r="88" spans="1:5" s="50" customFormat="1" ht="12" customHeight="1" thickBot="1">
      <c r="A88" s="199" t="s">
        <v>397</v>
      </c>
      <c r="B88" s="109" t="s">
        <v>244</v>
      </c>
      <c r="C88" s="222"/>
      <c r="D88" s="222"/>
      <c r="E88" s="223"/>
    </row>
    <row r="89" spans="1:5" s="50" customFormat="1" ht="12" customHeight="1" thickBot="1">
      <c r="A89" s="199" t="s">
        <v>398</v>
      </c>
      <c r="B89" s="186" t="s">
        <v>382</v>
      </c>
      <c r="C89" s="172">
        <f>+C66+C70+C75+C78+C82+C88+C87</f>
        <v>60076119</v>
      </c>
      <c r="D89" s="172">
        <f>+D66+D70+D75+D78+D82+D88+D87</f>
        <v>78029506</v>
      </c>
      <c r="E89" s="208">
        <f>+E66+E70+E75+E78+E82+E88+E87</f>
        <v>78073086</v>
      </c>
    </row>
    <row r="90" spans="1:5" s="50" customFormat="1" ht="12" customHeight="1" thickBot="1">
      <c r="A90" s="203" t="s">
        <v>399</v>
      </c>
      <c r="B90" s="187" t="s">
        <v>400</v>
      </c>
      <c r="C90" s="172">
        <f>+C65+C89</f>
        <v>60256119</v>
      </c>
      <c r="D90" s="172">
        <f>+D65+D89</f>
        <v>80740424</v>
      </c>
      <c r="E90" s="208">
        <f>+E65+E89</f>
        <v>113420953</v>
      </c>
    </row>
    <row r="91" spans="1:3" s="51" customFormat="1" ht="15" customHeight="1" thickBot="1">
      <c r="A91" s="86"/>
      <c r="B91" s="87"/>
      <c r="C91" s="148"/>
    </row>
    <row r="92" spans="1:5" s="44" customFormat="1" ht="16.5" customHeight="1" thickBot="1">
      <c r="A92" s="849" t="s">
        <v>41</v>
      </c>
      <c r="B92" s="850"/>
      <c r="C92" s="850"/>
      <c r="D92" s="850"/>
      <c r="E92" s="851"/>
    </row>
    <row r="93" spans="1:5" s="52" customFormat="1" ht="12" customHeight="1" thickBot="1">
      <c r="A93" s="173" t="s">
        <v>6</v>
      </c>
      <c r="B93" s="24" t="s">
        <v>404</v>
      </c>
      <c r="C93" s="165">
        <f>+C94+C95+C96+C97+C98+C111</f>
        <v>60256119</v>
      </c>
      <c r="D93" s="165">
        <f>+D94+D95+D96+D97+D98+D111</f>
        <v>77929030</v>
      </c>
      <c r="E93" s="236">
        <f>+E94+E95+E96+E97+E98+E111</f>
        <v>73215454</v>
      </c>
    </row>
    <row r="94" spans="1:5" ht="12" customHeight="1">
      <c r="A94" s="204" t="s">
        <v>64</v>
      </c>
      <c r="B94" s="8" t="s">
        <v>35</v>
      </c>
      <c r="C94" s="243">
        <v>43173266</v>
      </c>
      <c r="D94" s="243">
        <v>56902153</v>
      </c>
      <c r="E94" s="237">
        <v>53975967</v>
      </c>
    </row>
    <row r="95" spans="1:5" ht="12" customHeight="1">
      <c r="A95" s="197" t="s">
        <v>65</v>
      </c>
      <c r="B95" s="6" t="s">
        <v>124</v>
      </c>
      <c r="C95" s="167">
        <v>8703931</v>
      </c>
      <c r="D95" s="167">
        <v>11073774</v>
      </c>
      <c r="E95" s="103">
        <v>11073774</v>
      </c>
    </row>
    <row r="96" spans="1:5" ht="12" customHeight="1">
      <c r="A96" s="197" t="s">
        <v>66</v>
      </c>
      <c r="B96" s="6" t="s">
        <v>92</v>
      </c>
      <c r="C96" s="169">
        <v>8378922</v>
      </c>
      <c r="D96" s="167">
        <v>9953103</v>
      </c>
      <c r="E96" s="105">
        <v>8165713</v>
      </c>
    </row>
    <row r="97" spans="1:5" ht="12" customHeight="1">
      <c r="A97" s="197" t="s">
        <v>67</v>
      </c>
      <c r="B97" s="9" t="s">
        <v>125</v>
      </c>
      <c r="C97" s="169"/>
      <c r="D97" s="256"/>
      <c r="E97" s="105"/>
    </row>
    <row r="98" spans="1:5" ht="12" customHeight="1">
      <c r="A98" s="197" t="s">
        <v>76</v>
      </c>
      <c r="B98" s="17" t="s">
        <v>126</v>
      </c>
      <c r="C98" s="169"/>
      <c r="D98" s="256"/>
      <c r="E98" s="105"/>
    </row>
    <row r="99" spans="1:5" ht="12" customHeight="1">
      <c r="A99" s="197" t="s">
        <v>68</v>
      </c>
      <c r="B99" s="6" t="s">
        <v>401</v>
      </c>
      <c r="C99" s="169"/>
      <c r="D99" s="256"/>
      <c r="E99" s="105"/>
    </row>
    <row r="100" spans="1:5" ht="12" customHeight="1">
      <c r="A100" s="197" t="s">
        <v>69</v>
      </c>
      <c r="B100" s="62" t="s">
        <v>345</v>
      </c>
      <c r="C100" s="169"/>
      <c r="D100" s="256"/>
      <c r="E100" s="105"/>
    </row>
    <row r="101" spans="1:5" ht="12" customHeight="1">
      <c r="A101" s="197" t="s">
        <v>77</v>
      </c>
      <c r="B101" s="62" t="s">
        <v>344</v>
      </c>
      <c r="C101" s="169"/>
      <c r="D101" s="256"/>
      <c r="E101" s="105"/>
    </row>
    <row r="102" spans="1:5" ht="12" customHeight="1">
      <c r="A102" s="197" t="s">
        <v>78</v>
      </c>
      <c r="B102" s="62" t="s">
        <v>260</v>
      </c>
      <c r="C102" s="169"/>
      <c r="D102" s="256"/>
      <c r="E102" s="105"/>
    </row>
    <row r="103" spans="1:5" ht="12" customHeight="1">
      <c r="A103" s="197" t="s">
        <v>79</v>
      </c>
      <c r="B103" s="63" t="s">
        <v>261</v>
      </c>
      <c r="C103" s="169"/>
      <c r="D103" s="256"/>
      <c r="E103" s="105"/>
    </row>
    <row r="104" spans="1:5" ht="12" customHeight="1">
      <c r="A104" s="197" t="s">
        <v>80</v>
      </c>
      <c r="B104" s="63" t="s">
        <v>262</v>
      </c>
      <c r="C104" s="169"/>
      <c r="D104" s="256"/>
      <c r="E104" s="105"/>
    </row>
    <row r="105" spans="1:5" ht="12" customHeight="1">
      <c r="A105" s="197" t="s">
        <v>82</v>
      </c>
      <c r="B105" s="62" t="s">
        <v>263</v>
      </c>
      <c r="C105" s="169"/>
      <c r="D105" s="256"/>
      <c r="E105" s="105"/>
    </row>
    <row r="106" spans="1:5" ht="12" customHeight="1">
      <c r="A106" s="197" t="s">
        <v>127</v>
      </c>
      <c r="B106" s="62" t="s">
        <v>264</v>
      </c>
      <c r="C106" s="169"/>
      <c r="D106" s="256"/>
      <c r="E106" s="105"/>
    </row>
    <row r="107" spans="1:5" ht="12" customHeight="1">
      <c r="A107" s="197" t="s">
        <v>258</v>
      </c>
      <c r="B107" s="63" t="s">
        <v>265</v>
      </c>
      <c r="C107" s="167"/>
      <c r="D107" s="256"/>
      <c r="E107" s="105"/>
    </row>
    <row r="108" spans="1:5" ht="12" customHeight="1">
      <c r="A108" s="205" t="s">
        <v>259</v>
      </c>
      <c r="B108" s="64" t="s">
        <v>266</v>
      </c>
      <c r="C108" s="169"/>
      <c r="D108" s="256"/>
      <c r="E108" s="105"/>
    </row>
    <row r="109" spans="1:5" ht="12" customHeight="1">
      <c r="A109" s="197" t="s">
        <v>342</v>
      </c>
      <c r="B109" s="64" t="s">
        <v>267</v>
      </c>
      <c r="C109" s="169"/>
      <c r="D109" s="256"/>
      <c r="E109" s="105"/>
    </row>
    <row r="110" spans="1:5" ht="12" customHeight="1">
      <c r="A110" s="197" t="s">
        <v>343</v>
      </c>
      <c r="B110" s="63" t="s">
        <v>268</v>
      </c>
      <c r="C110" s="167"/>
      <c r="D110" s="255"/>
      <c r="E110" s="103"/>
    </row>
    <row r="111" spans="1:5" ht="12" customHeight="1">
      <c r="A111" s="197" t="s">
        <v>347</v>
      </c>
      <c r="B111" s="9" t="s">
        <v>36</v>
      </c>
      <c r="C111" s="167"/>
      <c r="D111" s="255"/>
      <c r="E111" s="103"/>
    </row>
    <row r="112" spans="1:5" ht="12" customHeight="1">
      <c r="A112" s="198" t="s">
        <v>348</v>
      </c>
      <c r="B112" s="6" t="s">
        <v>402</v>
      </c>
      <c r="C112" s="169"/>
      <c r="D112" s="256"/>
      <c r="E112" s="105"/>
    </row>
    <row r="113" spans="1:5" ht="12" customHeight="1" thickBot="1">
      <c r="A113" s="206" t="s">
        <v>349</v>
      </c>
      <c r="B113" s="65" t="s">
        <v>403</v>
      </c>
      <c r="C113" s="244"/>
      <c r="D113" s="320"/>
      <c r="E113" s="238"/>
    </row>
    <row r="114" spans="1:5" ht="12" customHeight="1" thickBot="1">
      <c r="A114" s="25" t="s">
        <v>7</v>
      </c>
      <c r="B114" s="23" t="s">
        <v>269</v>
      </c>
      <c r="C114" s="166">
        <f>+C115+C117+C119</f>
        <v>0</v>
      </c>
      <c r="D114" s="253">
        <f>+D115+D117+D119</f>
        <v>2811394</v>
      </c>
      <c r="E114" s="102">
        <f>+E115+E117+E119</f>
        <v>2811394</v>
      </c>
    </row>
    <row r="115" spans="1:5" ht="12" customHeight="1">
      <c r="A115" s="196" t="s">
        <v>70</v>
      </c>
      <c r="B115" s="6" t="s">
        <v>145</v>
      </c>
      <c r="C115" s="168"/>
      <c r="D115" s="254">
        <v>2811394</v>
      </c>
      <c r="E115" s="104">
        <v>2811394</v>
      </c>
    </row>
    <row r="116" spans="1:5" ht="12" customHeight="1">
      <c r="A116" s="196" t="s">
        <v>71</v>
      </c>
      <c r="B116" s="10" t="s">
        <v>273</v>
      </c>
      <c r="C116" s="168"/>
      <c r="D116" s="254"/>
      <c r="E116" s="104">
        <v>2219355</v>
      </c>
    </row>
    <row r="117" spans="1:5" ht="12" customHeight="1">
      <c r="A117" s="196" t="s">
        <v>72</v>
      </c>
      <c r="B117" s="10" t="s">
        <v>128</v>
      </c>
      <c r="C117" s="167"/>
      <c r="D117" s="255"/>
      <c r="E117" s="103"/>
    </row>
    <row r="118" spans="1:5" ht="12" customHeight="1">
      <c r="A118" s="196" t="s">
        <v>73</v>
      </c>
      <c r="B118" s="10" t="s">
        <v>274</v>
      </c>
      <c r="C118" s="167"/>
      <c r="D118" s="255"/>
      <c r="E118" s="103"/>
    </row>
    <row r="119" spans="1:5" ht="12" customHeight="1">
      <c r="A119" s="196" t="s">
        <v>74</v>
      </c>
      <c r="B119" s="111" t="s">
        <v>147</v>
      </c>
      <c r="C119" s="167"/>
      <c r="D119" s="255"/>
      <c r="E119" s="103"/>
    </row>
    <row r="120" spans="1:5" ht="12" customHeight="1">
      <c r="A120" s="196" t="s">
        <v>81</v>
      </c>
      <c r="B120" s="110" t="s">
        <v>334</v>
      </c>
      <c r="C120" s="167"/>
      <c r="D120" s="255"/>
      <c r="E120" s="103"/>
    </row>
    <row r="121" spans="1:5" ht="12" customHeight="1">
      <c r="A121" s="196" t="s">
        <v>83</v>
      </c>
      <c r="B121" s="175" t="s">
        <v>279</v>
      </c>
      <c r="C121" s="167"/>
      <c r="D121" s="255"/>
      <c r="E121" s="103"/>
    </row>
    <row r="122" spans="1:5" ht="12" customHeight="1">
      <c r="A122" s="196" t="s">
        <v>129</v>
      </c>
      <c r="B122" s="63" t="s">
        <v>262</v>
      </c>
      <c r="C122" s="167"/>
      <c r="D122" s="255"/>
      <c r="E122" s="103"/>
    </row>
    <row r="123" spans="1:5" ht="12" customHeight="1">
      <c r="A123" s="196" t="s">
        <v>130</v>
      </c>
      <c r="B123" s="63" t="s">
        <v>278</v>
      </c>
      <c r="C123" s="167"/>
      <c r="D123" s="255"/>
      <c r="E123" s="103"/>
    </row>
    <row r="124" spans="1:5" ht="12" customHeight="1">
      <c r="A124" s="196" t="s">
        <v>131</v>
      </c>
      <c r="B124" s="63" t="s">
        <v>277</v>
      </c>
      <c r="C124" s="167"/>
      <c r="D124" s="255"/>
      <c r="E124" s="103"/>
    </row>
    <row r="125" spans="1:5" ht="12" customHeight="1">
      <c r="A125" s="196" t="s">
        <v>270</v>
      </c>
      <c r="B125" s="63" t="s">
        <v>265</v>
      </c>
      <c r="C125" s="167"/>
      <c r="D125" s="255"/>
      <c r="E125" s="103"/>
    </row>
    <row r="126" spans="1:5" ht="12" customHeight="1">
      <c r="A126" s="196" t="s">
        <v>271</v>
      </c>
      <c r="B126" s="63" t="s">
        <v>276</v>
      </c>
      <c r="C126" s="167"/>
      <c r="D126" s="255"/>
      <c r="E126" s="103"/>
    </row>
    <row r="127" spans="1:5" ht="12" customHeight="1" thickBot="1">
      <c r="A127" s="205" t="s">
        <v>272</v>
      </c>
      <c r="B127" s="63" t="s">
        <v>275</v>
      </c>
      <c r="C127" s="169"/>
      <c r="D127" s="256"/>
      <c r="E127" s="105"/>
    </row>
    <row r="128" spans="1:5" ht="12" customHeight="1" thickBot="1">
      <c r="A128" s="25" t="s">
        <v>8</v>
      </c>
      <c r="B128" s="56" t="s">
        <v>352</v>
      </c>
      <c r="C128" s="166">
        <f>+C93+C114</f>
        <v>60256119</v>
      </c>
      <c r="D128" s="253">
        <f>+D93+D114</f>
        <v>80740424</v>
      </c>
      <c r="E128" s="102">
        <f>+E93+E114</f>
        <v>76026848</v>
      </c>
    </row>
    <row r="129" spans="1:5" ht="12" customHeight="1" thickBot="1">
      <c r="A129" s="25" t="s">
        <v>9</v>
      </c>
      <c r="B129" s="56" t="s">
        <v>353</v>
      </c>
      <c r="C129" s="166">
        <f>+C130+C131+C132</f>
        <v>0</v>
      </c>
      <c r="D129" s="253">
        <f>+D130+D131+D132</f>
        <v>0</v>
      </c>
      <c r="E129" s="102">
        <f>+E130+E131+E132</f>
        <v>0</v>
      </c>
    </row>
    <row r="130" spans="1:5" s="52" customFormat="1" ht="12" customHeight="1">
      <c r="A130" s="196" t="s">
        <v>177</v>
      </c>
      <c r="B130" s="7" t="s">
        <v>407</v>
      </c>
      <c r="C130" s="167"/>
      <c r="D130" s="255"/>
      <c r="E130" s="103"/>
    </row>
    <row r="131" spans="1:5" ht="12" customHeight="1">
      <c r="A131" s="196" t="s">
        <v>178</v>
      </c>
      <c r="B131" s="7" t="s">
        <v>361</v>
      </c>
      <c r="C131" s="167"/>
      <c r="D131" s="255"/>
      <c r="E131" s="103"/>
    </row>
    <row r="132" spans="1:5" ht="12" customHeight="1" thickBot="1">
      <c r="A132" s="205" t="s">
        <v>179</v>
      </c>
      <c r="B132" s="5" t="s">
        <v>406</v>
      </c>
      <c r="C132" s="167"/>
      <c r="D132" s="255"/>
      <c r="E132" s="103"/>
    </row>
    <row r="133" spans="1:5" ht="12" customHeight="1" thickBot="1">
      <c r="A133" s="25" t="s">
        <v>10</v>
      </c>
      <c r="B133" s="56" t="s">
        <v>354</v>
      </c>
      <c r="C133" s="166">
        <f>+C134+C135+C136+C137+C138+C139</f>
        <v>0</v>
      </c>
      <c r="D133" s="253">
        <f>+D134+D135+D136+D137+D138+D139</f>
        <v>0</v>
      </c>
      <c r="E133" s="102">
        <f>+E134+E135+E136+E137+E138+E139</f>
        <v>0</v>
      </c>
    </row>
    <row r="134" spans="1:5" ht="12" customHeight="1">
      <c r="A134" s="196" t="s">
        <v>57</v>
      </c>
      <c r="B134" s="7" t="s">
        <v>363</v>
      </c>
      <c r="C134" s="167"/>
      <c r="D134" s="255"/>
      <c r="E134" s="103"/>
    </row>
    <row r="135" spans="1:5" ht="12" customHeight="1">
      <c r="A135" s="196" t="s">
        <v>58</v>
      </c>
      <c r="B135" s="7" t="s">
        <v>355</v>
      </c>
      <c r="C135" s="167"/>
      <c r="D135" s="255"/>
      <c r="E135" s="103"/>
    </row>
    <row r="136" spans="1:5" ht="12" customHeight="1">
      <c r="A136" s="196" t="s">
        <v>59</v>
      </c>
      <c r="B136" s="7" t="s">
        <v>356</v>
      </c>
      <c r="C136" s="167"/>
      <c r="D136" s="255"/>
      <c r="E136" s="103"/>
    </row>
    <row r="137" spans="1:5" ht="12" customHeight="1">
      <c r="A137" s="196" t="s">
        <v>116</v>
      </c>
      <c r="B137" s="7" t="s">
        <v>405</v>
      </c>
      <c r="C137" s="167"/>
      <c r="D137" s="255"/>
      <c r="E137" s="103"/>
    </row>
    <row r="138" spans="1:5" ht="12" customHeight="1">
      <c r="A138" s="196" t="s">
        <v>117</v>
      </c>
      <c r="B138" s="7" t="s">
        <v>358</v>
      </c>
      <c r="C138" s="167"/>
      <c r="D138" s="255"/>
      <c r="E138" s="103"/>
    </row>
    <row r="139" spans="1:5" s="52" customFormat="1" ht="12" customHeight="1" thickBot="1">
      <c r="A139" s="205" t="s">
        <v>118</v>
      </c>
      <c r="B139" s="5" t="s">
        <v>359</v>
      </c>
      <c r="C139" s="167"/>
      <c r="D139" s="255"/>
      <c r="E139" s="103"/>
    </row>
    <row r="140" spans="1:11" ht="12" customHeight="1" thickBot="1">
      <c r="A140" s="25" t="s">
        <v>11</v>
      </c>
      <c r="B140" s="56" t="s">
        <v>420</v>
      </c>
      <c r="C140" s="172">
        <f>+C141+C142+C144+C145+C143</f>
        <v>0</v>
      </c>
      <c r="D140" s="257">
        <f>+D141+D142+D144+D145+D143</f>
        <v>0</v>
      </c>
      <c r="E140" s="208">
        <f>+E141+E142+E144+E145+E143</f>
        <v>0</v>
      </c>
      <c r="K140" s="95"/>
    </row>
    <row r="141" spans="1:5" ht="12.75">
      <c r="A141" s="196" t="s">
        <v>60</v>
      </c>
      <c r="B141" s="7" t="s">
        <v>280</v>
      </c>
      <c r="C141" s="167"/>
      <c r="D141" s="255"/>
      <c r="E141" s="103"/>
    </row>
    <row r="142" spans="1:5" ht="12" customHeight="1">
      <c r="A142" s="196" t="s">
        <v>61</v>
      </c>
      <c r="B142" s="7" t="s">
        <v>281</v>
      </c>
      <c r="C142" s="167"/>
      <c r="D142" s="255"/>
      <c r="E142" s="103"/>
    </row>
    <row r="143" spans="1:5" ht="12" customHeight="1">
      <c r="A143" s="196" t="s">
        <v>197</v>
      </c>
      <c r="B143" s="7" t="s">
        <v>419</v>
      </c>
      <c r="C143" s="167"/>
      <c r="D143" s="255"/>
      <c r="E143" s="103"/>
    </row>
    <row r="144" spans="1:5" s="52" customFormat="1" ht="12" customHeight="1">
      <c r="A144" s="196" t="s">
        <v>198</v>
      </c>
      <c r="B144" s="7" t="s">
        <v>368</v>
      </c>
      <c r="C144" s="167"/>
      <c r="D144" s="255"/>
      <c r="E144" s="103"/>
    </row>
    <row r="145" spans="1:5" s="52" customFormat="1" ht="12" customHeight="1" thickBot="1">
      <c r="A145" s="205" t="s">
        <v>199</v>
      </c>
      <c r="B145" s="5" t="s">
        <v>297</v>
      </c>
      <c r="C145" s="167"/>
      <c r="D145" s="255"/>
      <c r="E145" s="103"/>
    </row>
    <row r="146" spans="1:5" s="52" customFormat="1" ht="12" customHeight="1" thickBot="1">
      <c r="A146" s="25" t="s">
        <v>12</v>
      </c>
      <c r="B146" s="56" t="s">
        <v>369</v>
      </c>
      <c r="C146" s="246">
        <f>+C147+C148+C149+C150+C151</f>
        <v>0</v>
      </c>
      <c r="D146" s="258">
        <f>+D147+D148+D149+D150+D151</f>
        <v>0</v>
      </c>
      <c r="E146" s="240">
        <f>+E147+E148+E149+E150+E151</f>
        <v>0</v>
      </c>
    </row>
    <row r="147" spans="1:5" s="52" customFormat="1" ht="12" customHeight="1">
      <c r="A147" s="196" t="s">
        <v>62</v>
      </c>
      <c r="B147" s="7" t="s">
        <v>364</v>
      </c>
      <c r="C147" s="167"/>
      <c r="D147" s="255"/>
      <c r="E147" s="103"/>
    </row>
    <row r="148" spans="1:5" s="52" customFormat="1" ht="12" customHeight="1">
      <c r="A148" s="196" t="s">
        <v>63</v>
      </c>
      <c r="B148" s="7" t="s">
        <v>371</v>
      </c>
      <c r="C148" s="167"/>
      <c r="D148" s="255"/>
      <c r="E148" s="103"/>
    </row>
    <row r="149" spans="1:5" s="52" customFormat="1" ht="12" customHeight="1">
      <c r="A149" s="196" t="s">
        <v>209</v>
      </c>
      <c r="B149" s="7" t="s">
        <v>366</v>
      </c>
      <c r="C149" s="167"/>
      <c r="D149" s="255"/>
      <c r="E149" s="103"/>
    </row>
    <row r="150" spans="1:5" s="52" customFormat="1" ht="12" customHeight="1">
      <c r="A150" s="196" t="s">
        <v>210</v>
      </c>
      <c r="B150" s="7" t="s">
        <v>408</v>
      </c>
      <c r="C150" s="167"/>
      <c r="D150" s="255"/>
      <c r="E150" s="103"/>
    </row>
    <row r="151" spans="1:5" ht="12.75" customHeight="1" thickBot="1">
      <c r="A151" s="205" t="s">
        <v>370</v>
      </c>
      <c r="B151" s="5" t="s">
        <v>373</v>
      </c>
      <c r="C151" s="169"/>
      <c r="D151" s="256"/>
      <c r="E151" s="105"/>
    </row>
    <row r="152" spans="1:5" ht="12.75" customHeight="1" thickBot="1">
      <c r="A152" s="235" t="s">
        <v>13</v>
      </c>
      <c r="B152" s="56" t="s">
        <v>374</v>
      </c>
      <c r="C152" s="246"/>
      <c r="D152" s="258"/>
      <c r="E152" s="240"/>
    </row>
    <row r="153" spans="1:5" ht="12.75" customHeight="1" thickBot="1">
      <c r="A153" s="235" t="s">
        <v>14</v>
      </c>
      <c r="B153" s="56" t="s">
        <v>375</v>
      </c>
      <c r="C153" s="246"/>
      <c r="D153" s="258"/>
      <c r="E153" s="240"/>
    </row>
    <row r="154" spans="1:5" ht="12" customHeight="1" thickBot="1">
      <c r="A154" s="25" t="s">
        <v>15</v>
      </c>
      <c r="B154" s="56" t="s">
        <v>377</v>
      </c>
      <c r="C154" s="248">
        <f>+C129+C133+C140+C146+C152+C153</f>
        <v>0</v>
      </c>
      <c r="D154" s="260">
        <f>+D129+D133+D140+D146+D152+D153</f>
        <v>0</v>
      </c>
      <c r="E154" s="242">
        <f>+E129+E133+E140+E146+E152+E153</f>
        <v>0</v>
      </c>
    </row>
    <row r="155" spans="1:5" ht="15" customHeight="1" thickBot="1">
      <c r="A155" s="207" t="s">
        <v>16</v>
      </c>
      <c r="B155" s="153" t="s">
        <v>376</v>
      </c>
      <c r="C155" s="248">
        <f>+C128+C154</f>
        <v>60256119</v>
      </c>
      <c r="D155" s="260">
        <f>+D128+D154</f>
        <v>80740424</v>
      </c>
      <c r="E155" s="242">
        <f>+E128+E154</f>
        <v>76026848</v>
      </c>
    </row>
    <row r="156" spans="1:5" ht="13.5" thickBot="1">
      <c r="A156" s="156"/>
      <c r="B156" s="157"/>
      <c r="C156" s="724">
        <f>C90-C155</f>
        <v>0</v>
      </c>
      <c r="D156" s="724">
        <f>D90-D155</f>
        <v>0</v>
      </c>
      <c r="E156" s="158"/>
    </row>
    <row r="157" spans="1:5" ht="15" customHeight="1" thickBot="1">
      <c r="A157" s="330" t="s">
        <v>497</v>
      </c>
      <c r="B157" s="331"/>
      <c r="C157" s="319">
        <v>13</v>
      </c>
      <c r="D157" s="319">
        <v>13</v>
      </c>
      <c r="E157" s="318">
        <v>15</v>
      </c>
    </row>
    <row r="158" spans="1:5" ht="14.25" customHeight="1" thickBot="1">
      <c r="A158" s="332" t="s">
        <v>498</v>
      </c>
      <c r="B158" s="333"/>
      <c r="C158" s="319"/>
      <c r="D158" s="319"/>
      <c r="E158" s="318"/>
    </row>
  </sheetData>
  <sheetProtection formatCells="0"/>
  <mergeCells count="5">
    <mergeCell ref="B2:D2"/>
    <mergeCell ref="B3:D3"/>
    <mergeCell ref="A7:E7"/>
    <mergeCell ref="A92:E92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20" zoomScaleNormal="120" workbookViewId="0" topLeftCell="A1">
      <selection activeCell="J69" sqref="J69"/>
    </sheetView>
  </sheetViews>
  <sheetFormatPr defaultColWidth="9.00390625" defaultRowHeight="12.75"/>
  <cols>
    <col min="1" max="1" width="13.00390625" style="91" customWidth="1"/>
    <col min="2" max="2" width="59.00390625" style="92" customWidth="1"/>
    <col min="3" max="5" width="15.875" style="92" customWidth="1"/>
    <col min="6" max="16384" width="9.375" style="92" customWidth="1"/>
  </cols>
  <sheetData>
    <row r="1" spans="1:5" s="82" customFormat="1" ht="16.5" thickBot="1">
      <c r="A1" s="387"/>
      <c r="B1" s="853" t="str">
        <f>CONCATENATE("6.2. melléklet ",Z_ALAPADATOK!A7," ",Z_ALAPADATOK!B7," ",Z_ALAPADATOK!C7," ",Z_ALAPADATOK!D7," ",Z_ALAPADATOK!E7," ",Z_ALAPADATOK!F7," ",Z_ALAPADATOK!G7," ",Z_ALAPADATOK!H7)</f>
        <v>6.2. melléklet a 2 / 2019. ( IV.26. ) önkormányzati rendelethez</v>
      </c>
      <c r="C1" s="854"/>
      <c r="D1" s="854"/>
      <c r="E1" s="854"/>
    </row>
    <row r="2" spans="1:5" s="214" customFormat="1" ht="24.75" thickBot="1">
      <c r="A2" s="388" t="s">
        <v>464</v>
      </c>
      <c r="B2" s="855" t="s">
        <v>306</v>
      </c>
      <c r="C2" s="856"/>
      <c r="D2" s="857"/>
      <c r="E2" s="389" t="s">
        <v>43</v>
      </c>
    </row>
    <row r="3" spans="1:5" s="214" customFormat="1" ht="24.75" thickBot="1">
      <c r="A3" s="388" t="s">
        <v>137</v>
      </c>
      <c r="B3" s="855" t="s">
        <v>305</v>
      </c>
      <c r="C3" s="856"/>
      <c r="D3" s="857"/>
      <c r="E3" s="389" t="s">
        <v>39</v>
      </c>
    </row>
    <row r="4" spans="1:5" s="215" customFormat="1" ht="15.75" customHeight="1" thickBot="1">
      <c r="A4" s="390"/>
      <c r="B4" s="390"/>
      <c r="C4" s="391"/>
      <c r="D4" s="392"/>
      <c r="E4" s="391" t="str">
        <f>'Z_6.1.3.sz.mell'!E4</f>
        <v> Forintban!</v>
      </c>
    </row>
    <row r="5" spans="1:5" ht="24.75" thickBot="1">
      <c r="A5" s="393" t="s">
        <v>138</v>
      </c>
      <c r="B5" s="394" t="s">
        <v>496</v>
      </c>
      <c r="C5" s="394" t="s">
        <v>460</v>
      </c>
      <c r="D5" s="395" t="s">
        <v>461</v>
      </c>
      <c r="E5" s="376" t="str">
        <f>CONCATENATE('Z_6.1.3.sz.mell'!E5)</f>
        <v>Teljesítés
2018. XII. 31.</v>
      </c>
    </row>
    <row r="6" spans="1:5" s="216" customFormat="1" ht="12.75" customHeight="1" thickBot="1">
      <c r="A6" s="426" t="s">
        <v>388</v>
      </c>
      <c r="B6" s="427" t="s">
        <v>389</v>
      </c>
      <c r="C6" s="427" t="s">
        <v>390</v>
      </c>
      <c r="D6" s="428" t="s">
        <v>392</v>
      </c>
      <c r="E6" s="429" t="s">
        <v>391</v>
      </c>
    </row>
    <row r="7" spans="1:5" s="216" customFormat="1" ht="15.75" customHeight="1" thickBot="1">
      <c r="A7" s="849" t="s">
        <v>40</v>
      </c>
      <c r="B7" s="850"/>
      <c r="C7" s="850"/>
      <c r="D7" s="850"/>
      <c r="E7" s="851"/>
    </row>
    <row r="8" spans="1:5" s="152" customFormat="1" ht="12" customHeight="1" thickBot="1">
      <c r="A8" s="74" t="s">
        <v>6</v>
      </c>
      <c r="B8" s="83" t="s">
        <v>409</v>
      </c>
      <c r="C8" s="119">
        <f>SUM(C9:C19)</f>
        <v>180000</v>
      </c>
      <c r="D8" s="119">
        <f>SUM(D9:D19)</f>
        <v>507530</v>
      </c>
      <c r="E8" s="147">
        <f>SUM(E9:E19)</f>
        <v>508020</v>
      </c>
    </row>
    <row r="9" spans="1:5" s="152" customFormat="1" ht="12" customHeight="1">
      <c r="A9" s="209" t="s">
        <v>64</v>
      </c>
      <c r="B9" s="8" t="s">
        <v>186</v>
      </c>
      <c r="C9" s="275"/>
      <c r="D9" s="275"/>
      <c r="E9" s="322"/>
    </row>
    <row r="10" spans="1:5" s="152" customFormat="1" ht="12" customHeight="1">
      <c r="A10" s="210" t="s">
        <v>65</v>
      </c>
      <c r="B10" s="6" t="s">
        <v>187</v>
      </c>
      <c r="C10" s="116">
        <v>180000</v>
      </c>
      <c r="D10" s="116">
        <v>244860</v>
      </c>
      <c r="E10" s="267">
        <v>244860</v>
      </c>
    </row>
    <row r="11" spans="1:5" s="152" customFormat="1" ht="12" customHeight="1">
      <c r="A11" s="210" t="s">
        <v>66</v>
      </c>
      <c r="B11" s="6" t="s">
        <v>188</v>
      </c>
      <c r="C11" s="116"/>
      <c r="D11" s="116"/>
      <c r="E11" s="267"/>
    </row>
    <row r="12" spans="1:5" s="152" customFormat="1" ht="12" customHeight="1">
      <c r="A12" s="210" t="s">
        <v>67</v>
      </c>
      <c r="B12" s="6" t="s">
        <v>189</v>
      </c>
      <c r="C12" s="116"/>
      <c r="D12" s="116"/>
      <c r="E12" s="267"/>
    </row>
    <row r="13" spans="1:5" s="152" customFormat="1" ht="12" customHeight="1">
      <c r="A13" s="210" t="s">
        <v>99</v>
      </c>
      <c r="B13" s="6" t="s">
        <v>190</v>
      </c>
      <c r="C13" s="116"/>
      <c r="D13" s="116"/>
      <c r="E13" s="267"/>
    </row>
    <row r="14" spans="1:5" s="152" customFormat="1" ht="12" customHeight="1">
      <c r="A14" s="210" t="s">
        <v>68</v>
      </c>
      <c r="B14" s="6" t="s">
        <v>307</v>
      </c>
      <c r="C14" s="116"/>
      <c r="D14" s="116">
        <v>10911</v>
      </c>
      <c r="E14" s="267">
        <v>10911</v>
      </c>
    </row>
    <row r="15" spans="1:5" s="152" customFormat="1" ht="12" customHeight="1">
      <c r="A15" s="210" t="s">
        <v>69</v>
      </c>
      <c r="B15" s="5" t="s">
        <v>308</v>
      </c>
      <c r="C15" s="116"/>
      <c r="D15" s="116"/>
      <c r="E15" s="267"/>
    </row>
    <row r="16" spans="1:5" s="152" customFormat="1" ht="12" customHeight="1">
      <c r="A16" s="210" t="s">
        <v>77</v>
      </c>
      <c r="B16" s="6" t="s">
        <v>193</v>
      </c>
      <c r="C16" s="273"/>
      <c r="D16" s="273">
        <v>19585</v>
      </c>
      <c r="E16" s="271">
        <v>20075</v>
      </c>
    </row>
    <row r="17" spans="1:5" s="217" customFormat="1" ht="12" customHeight="1">
      <c r="A17" s="210" t="s">
        <v>78</v>
      </c>
      <c r="B17" s="6" t="s">
        <v>194</v>
      </c>
      <c r="C17" s="116"/>
      <c r="D17" s="116"/>
      <c r="E17" s="267"/>
    </row>
    <row r="18" spans="1:5" s="217" customFormat="1" ht="12" customHeight="1">
      <c r="A18" s="210" t="s">
        <v>79</v>
      </c>
      <c r="B18" s="6" t="s">
        <v>340</v>
      </c>
      <c r="C18" s="118"/>
      <c r="D18" s="118"/>
      <c r="E18" s="268"/>
    </row>
    <row r="19" spans="1:5" s="217" customFormat="1" ht="12" customHeight="1" thickBot="1">
      <c r="A19" s="210" t="s">
        <v>80</v>
      </c>
      <c r="B19" s="5" t="s">
        <v>195</v>
      </c>
      <c r="C19" s="118"/>
      <c r="D19" s="118">
        <v>232174</v>
      </c>
      <c r="E19" s="268">
        <v>232174</v>
      </c>
    </row>
    <row r="20" spans="1:5" s="152" customFormat="1" ht="12" customHeight="1" thickBot="1">
      <c r="A20" s="74" t="s">
        <v>7</v>
      </c>
      <c r="B20" s="83" t="s">
        <v>309</v>
      </c>
      <c r="C20" s="119">
        <f>SUM(C21:C23)</f>
        <v>0</v>
      </c>
      <c r="D20" s="119">
        <f>SUM(D21:D23)</f>
        <v>2203388</v>
      </c>
      <c r="E20" s="147">
        <f>SUM(E21:E23)</f>
        <v>34839847</v>
      </c>
    </row>
    <row r="21" spans="1:5" s="217" customFormat="1" ht="12" customHeight="1">
      <c r="A21" s="210" t="s">
        <v>70</v>
      </c>
      <c r="B21" s="7" t="s">
        <v>168</v>
      </c>
      <c r="C21" s="116"/>
      <c r="D21" s="116"/>
      <c r="E21" s="267"/>
    </row>
    <row r="22" spans="1:5" s="217" customFormat="1" ht="12" customHeight="1">
      <c r="A22" s="210" t="s">
        <v>71</v>
      </c>
      <c r="B22" s="6" t="s">
        <v>310</v>
      </c>
      <c r="C22" s="116"/>
      <c r="D22" s="116"/>
      <c r="E22" s="267"/>
    </row>
    <row r="23" spans="1:5" s="217" customFormat="1" ht="12" customHeight="1">
      <c r="A23" s="210" t="s">
        <v>72</v>
      </c>
      <c r="B23" s="6" t="s">
        <v>311</v>
      </c>
      <c r="C23" s="116"/>
      <c r="D23" s="116">
        <v>2203388</v>
      </c>
      <c r="E23" s="267">
        <v>34839847</v>
      </c>
    </row>
    <row r="24" spans="1:5" s="217" customFormat="1" ht="12" customHeight="1" thickBot="1">
      <c r="A24" s="210" t="s">
        <v>73</v>
      </c>
      <c r="B24" s="6" t="s">
        <v>410</v>
      </c>
      <c r="C24" s="116"/>
      <c r="D24" s="116"/>
      <c r="E24" s="267">
        <v>33483682</v>
      </c>
    </row>
    <row r="25" spans="1:5" s="217" customFormat="1" ht="12" customHeight="1" thickBot="1">
      <c r="A25" s="78" t="s">
        <v>8</v>
      </c>
      <c r="B25" s="56" t="s">
        <v>115</v>
      </c>
      <c r="C25" s="324"/>
      <c r="D25" s="324"/>
      <c r="E25" s="146"/>
    </row>
    <row r="26" spans="1:5" s="217" customFormat="1" ht="12" customHeight="1" thickBot="1">
      <c r="A26" s="78" t="s">
        <v>9</v>
      </c>
      <c r="B26" s="56" t="s">
        <v>411</v>
      </c>
      <c r="C26" s="119">
        <f>+C27+C28+C29</f>
        <v>0</v>
      </c>
      <c r="D26" s="119">
        <f>+D27+D28+D29</f>
        <v>0</v>
      </c>
      <c r="E26" s="147">
        <f>+E27+E28+E29</f>
        <v>0</v>
      </c>
    </row>
    <row r="27" spans="1:5" s="217" customFormat="1" ht="12" customHeight="1">
      <c r="A27" s="211" t="s">
        <v>177</v>
      </c>
      <c r="B27" s="212" t="s">
        <v>173</v>
      </c>
      <c r="C27" s="274"/>
      <c r="D27" s="274"/>
      <c r="E27" s="272"/>
    </row>
    <row r="28" spans="1:5" s="217" customFormat="1" ht="12" customHeight="1">
      <c r="A28" s="211" t="s">
        <v>178</v>
      </c>
      <c r="B28" s="212" t="s">
        <v>310</v>
      </c>
      <c r="C28" s="116"/>
      <c r="D28" s="116"/>
      <c r="E28" s="267"/>
    </row>
    <row r="29" spans="1:5" s="217" customFormat="1" ht="12" customHeight="1">
      <c r="A29" s="211" t="s">
        <v>179</v>
      </c>
      <c r="B29" s="213" t="s">
        <v>313</v>
      </c>
      <c r="C29" s="116"/>
      <c r="D29" s="116"/>
      <c r="E29" s="267"/>
    </row>
    <row r="30" spans="1:5" s="217" customFormat="1" ht="12" customHeight="1" thickBot="1">
      <c r="A30" s="210" t="s">
        <v>180</v>
      </c>
      <c r="B30" s="61" t="s">
        <v>412</v>
      </c>
      <c r="C30" s="47"/>
      <c r="D30" s="47"/>
      <c r="E30" s="323"/>
    </row>
    <row r="31" spans="1:5" s="217" customFormat="1" ht="12" customHeight="1" thickBot="1">
      <c r="A31" s="78" t="s">
        <v>10</v>
      </c>
      <c r="B31" s="56" t="s">
        <v>314</v>
      </c>
      <c r="C31" s="119">
        <f>+C32+C33+C34</f>
        <v>0</v>
      </c>
      <c r="D31" s="119">
        <f>+D32+D33+D34</f>
        <v>0</v>
      </c>
      <c r="E31" s="147">
        <f>+E32+E33+E34</f>
        <v>0</v>
      </c>
    </row>
    <row r="32" spans="1:5" s="217" customFormat="1" ht="12" customHeight="1">
      <c r="A32" s="211" t="s">
        <v>57</v>
      </c>
      <c r="B32" s="212" t="s">
        <v>200</v>
      </c>
      <c r="C32" s="274"/>
      <c r="D32" s="274"/>
      <c r="E32" s="272"/>
    </row>
    <row r="33" spans="1:5" s="217" customFormat="1" ht="12" customHeight="1">
      <c r="A33" s="211" t="s">
        <v>58</v>
      </c>
      <c r="B33" s="213" t="s">
        <v>201</v>
      </c>
      <c r="C33" s="120"/>
      <c r="D33" s="120"/>
      <c r="E33" s="269"/>
    </row>
    <row r="34" spans="1:5" s="217" customFormat="1" ht="12" customHeight="1" thickBot="1">
      <c r="A34" s="210" t="s">
        <v>59</v>
      </c>
      <c r="B34" s="61" t="s">
        <v>202</v>
      </c>
      <c r="C34" s="47"/>
      <c r="D34" s="47"/>
      <c r="E34" s="323"/>
    </row>
    <row r="35" spans="1:5" s="152" customFormat="1" ht="12" customHeight="1" thickBot="1">
      <c r="A35" s="78" t="s">
        <v>11</v>
      </c>
      <c r="B35" s="56" t="s">
        <v>285</v>
      </c>
      <c r="C35" s="324"/>
      <c r="D35" s="324"/>
      <c r="E35" s="146"/>
    </row>
    <row r="36" spans="1:5" s="152" customFormat="1" ht="12" customHeight="1" thickBot="1">
      <c r="A36" s="78" t="s">
        <v>12</v>
      </c>
      <c r="B36" s="56" t="s">
        <v>315</v>
      </c>
      <c r="C36" s="324"/>
      <c r="D36" s="324"/>
      <c r="E36" s="146"/>
    </row>
    <row r="37" spans="1:5" s="152" customFormat="1" ht="12" customHeight="1" thickBot="1">
      <c r="A37" s="74" t="s">
        <v>13</v>
      </c>
      <c r="B37" s="56" t="s">
        <v>316</v>
      </c>
      <c r="C37" s="119">
        <f>+C8+C20+C25+C26+C31+C35+C36</f>
        <v>180000</v>
      </c>
      <c r="D37" s="119">
        <f>+D8+D20+D25+D26+D31+D35+D36</f>
        <v>2710918</v>
      </c>
      <c r="E37" s="147">
        <f>+E8+E20+E25+E26+E31+E35+E36</f>
        <v>35347867</v>
      </c>
    </row>
    <row r="38" spans="1:5" s="152" customFormat="1" ht="12" customHeight="1" thickBot="1">
      <c r="A38" s="84" t="s">
        <v>14</v>
      </c>
      <c r="B38" s="56" t="s">
        <v>317</v>
      </c>
      <c r="C38" s="119">
        <f>+C39+C40+C41</f>
        <v>60076119</v>
      </c>
      <c r="D38" s="119">
        <f>+D39+D40+D41</f>
        <v>78029506</v>
      </c>
      <c r="E38" s="147">
        <f>+E39+E40+E41</f>
        <v>78073086</v>
      </c>
    </row>
    <row r="39" spans="1:5" s="152" customFormat="1" ht="12" customHeight="1">
      <c r="A39" s="211" t="s">
        <v>318</v>
      </c>
      <c r="B39" s="212" t="s">
        <v>150</v>
      </c>
      <c r="C39" s="274"/>
      <c r="D39" s="274">
        <v>9216009</v>
      </c>
      <c r="E39" s="272">
        <v>9259589</v>
      </c>
    </row>
    <row r="40" spans="1:5" s="152" customFormat="1" ht="12" customHeight="1">
      <c r="A40" s="211" t="s">
        <v>319</v>
      </c>
      <c r="B40" s="213" t="s">
        <v>0</v>
      </c>
      <c r="C40" s="120"/>
      <c r="D40" s="120"/>
      <c r="E40" s="269"/>
    </row>
    <row r="41" spans="1:5" s="217" customFormat="1" ht="12" customHeight="1" thickBot="1">
      <c r="A41" s="210" t="s">
        <v>320</v>
      </c>
      <c r="B41" s="61" t="s">
        <v>321</v>
      </c>
      <c r="C41" s="47">
        <v>60076119</v>
      </c>
      <c r="D41" s="47">
        <v>68813497</v>
      </c>
      <c r="E41" s="323">
        <v>68813497</v>
      </c>
    </row>
    <row r="42" spans="1:5" s="217" customFormat="1" ht="15" customHeight="1" thickBot="1">
      <c r="A42" s="84" t="s">
        <v>15</v>
      </c>
      <c r="B42" s="85" t="s">
        <v>322</v>
      </c>
      <c r="C42" s="325">
        <f>+C37+C38</f>
        <v>60256119</v>
      </c>
      <c r="D42" s="325">
        <f>+D37+D38</f>
        <v>80740424</v>
      </c>
      <c r="E42" s="150">
        <f>+E37+E38</f>
        <v>113420953</v>
      </c>
    </row>
    <row r="43" spans="1:3" s="217" customFormat="1" ht="15" customHeight="1">
      <c r="A43" s="86"/>
      <c r="B43" s="87"/>
      <c r="C43" s="148"/>
    </row>
    <row r="44" spans="1:3" ht="13.5" thickBot="1">
      <c r="A44" s="88"/>
      <c r="B44" s="89"/>
      <c r="C44" s="149"/>
    </row>
    <row r="45" spans="1:5" s="216" customFormat="1" ht="16.5" customHeight="1" thickBot="1">
      <c r="A45" s="849" t="s">
        <v>41</v>
      </c>
      <c r="B45" s="850"/>
      <c r="C45" s="850"/>
      <c r="D45" s="850"/>
      <c r="E45" s="851"/>
    </row>
    <row r="46" spans="1:5" s="218" customFormat="1" ht="12" customHeight="1" thickBot="1">
      <c r="A46" s="78" t="s">
        <v>6</v>
      </c>
      <c r="B46" s="56" t="s">
        <v>323</v>
      </c>
      <c r="C46" s="119">
        <f>SUM(C47:C51)</f>
        <v>60256119</v>
      </c>
      <c r="D46" s="119">
        <f>SUM(D47:D51)</f>
        <v>77929030</v>
      </c>
      <c r="E46" s="147">
        <f>SUM(E47:E51)</f>
        <v>73215454</v>
      </c>
    </row>
    <row r="47" spans="1:5" ht="12" customHeight="1">
      <c r="A47" s="210" t="s">
        <v>64</v>
      </c>
      <c r="B47" s="7" t="s">
        <v>35</v>
      </c>
      <c r="C47" s="274">
        <v>43173266</v>
      </c>
      <c r="D47" s="274">
        <v>56902153</v>
      </c>
      <c r="E47" s="272">
        <v>53975967</v>
      </c>
    </row>
    <row r="48" spans="1:5" ht="12" customHeight="1">
      <c r="A48" s="210" t="s">
        <v>65</v>
      </c>
      <c r="B48" s="6" t="s">
        <v>124</v>
      </c>
      <c r="C48" s="46">
        <v>8703931</v>
      </c>
      <c r="D48" s="46">
        <v>11073774</v>
      </c>
      <c r="E48" s="270">
        <v>11073774</v>
      </c>
    </row>
    <row r="49" spans="1:5" ht="12" customHeight="1">
      <c r="A49" s="210" t="s">
        <v>66</v>
      </c>
      <c r="B49" s="6" t="s">
        <v>92</v>
      </c>
      <c r="C49" s="46">
        <v>8378922</v>
      </c>
      <c r="D49" s="46">
        <v>9953103</v>
      </c>
      <c r="E49" s="270">
        <v>8165713</v>
      </c>
    </row>
    <row r="50" spans="1:5" ht="12" customHeight="1">
      <c r="A50" s="210" t="s">
        <v>67</v>
      </c>
      <c r="B50" s="6" t="s">
        <v>125</v>
      </c>
      <c r="C50" s="46"/>
      <c r="D50" s="46"/>
      <c r="E50" s="270"/>
    </row>
    <row r="51" spans="1:5" ht="12" customHeight="1" thickBot="1">
      <c r="A51" s="210" t="s">
        <v>99</v>
      </c>
      <c r="B51" s="6" t="s">
        <v>126</v>
      </c>
      <c r="C51" s="46"/>
      <c r="D51" s="46"/>
      <c r="E51" s="270"/>
    </row>
    <row r="52" spans="1:5" ht="12" customHeight="1" thickBot="1">
      <c r="A52" s="78" t="s">
        <v>7</v>
      </c>
      <c r="B52" s="56" t="s">
        <v>324</v>
      </c>
      <c r="C52" s="119">
        <f>SUM(C53:C55)</f>
        <v>0</v>
      </c>
      <c r="D52" s="119">
        <f>SUM(D53:D55)</f>
        <v>2811394</v>
      </c>
      <c r="E52" s="147">
        <f>SUM(E53:E55)</f>
        <v>2811394</v>
      </c>
    </row>
    <row r="53" spans="1:5" s="218" customFormat="1" ht="12" customHeight="1">
      <c r="A53" s="210" t="s">
        <v>70</v>
      </c>
      <c r="B53" s="7" t="s">
        <v>145</v>
      </c>
      <c r="C53" s="274"/>
      <c r="D53" s="274">
        <v>2811394</v>
      </c>
      <c r="E53" s="272">
        <v>2811394</v>
      </c>
    </row>
    <row r="54" spans="1:5" ht="12" customHeight="1">
      <c r="A54" s="210" t="s">
        <v>71</v>
      </c>
      <c r="B54" s="6" t="s">
        <v>128</v>
      </c>
      <c r="C54" s="46"/>
      <c r="D54" s="46"/>
      <c r="E54" s="270"/>
    </row>
    <row r="55" spans="1:5" ht="12" customHeight="1">
      <c r="A55" s="210" t="s">
        <v>72</v>
      </c>
      <c r="B55" s="6" t="s">
        <v>42</v>
      </c>
      <c r="C55" s="46"/>
      <c r="D55" s="46"/>
      <c r="E55" s="270"/>
    </row>
    <row r="56" spans="1:5" ht="12" customHeight="1" thickBot="1">
      <c r="A56" s="210" t="s">
        <v>73</v>
      </c>
      <c r="B56" s="6" t="s">
        <v>413</v>
      </c>
      <c r="C56" s="46"/>
      <c r="D56" s="46"/>
      <c r="E56" s="270"/>
    </row>
    <row r="57" spans="1:5" ht="12" customHeight="1" thickBot="1">
      <c r="A57" s="78" t="s">
        <v>8</v>
      </c>
      <c r="B57" s="56" t="s">
        <v>2</v>
      </c>
      <c r="C57" s="324"/>
      <c r="D57" s="324"/>
      <c r="E57" s="146"/>
    </row>
    <row r="58" spans="1:5" ht="15" customHeight="1" thickBot="1">
      <c r="A58" s="78" t="s">
        <v>9</v>
      </c>
      <c r="B58" s="90" t="s">
        <v>417</v>
      </c>
      <c r="C58" s="325">
        <f>+C46+C52+C57</f>
        <v>60256119</v>
      </c>
      <c r="D58" s="325">
        <f>+D46+D52+D57</f>
        <v>80740424</v>
      </c>
      <c r="E58" s="150">
        <f>+E46+E52+E57</f>
        <v>76026848</v>
      </c>
    </row>
    <row r="59" spans="3:5" ht="13.5" thickBot="1">
      <c r="C59" s="724">
        <f>C42-C58</f>
        <v>0</v>
      </c>
      <c r="D59" s="724">
        <f>D42-D58</f>
        <v>0</v>
      </c>
      <c r="E59" s="151"/>
    </row>
    <row r="60" spans="1:5" ht="15" customHeight="1" thickBot="1">
      <c r="A60" s="330" t="s">
        <v>497</v>
      </c>
      <c r="B60" s="331"/>
      <c r="C60" s="319">
        <v>13</v>
      </c>
      <c r="D60" s="319">
        <v>13</v>
      </c>
      <c r="E60" s="318">
        <v>15</v>
      </c>
    </row>
    <row r="61" spans="1:5" ht="14.25" customHeight="1" thickBot="1">
      <c r="A61" s="332" t="s">
        <v>498</v>
      </c>
      <c r="B61" s="333"/>
      <c r="C61" s="319"/>
      <c r="D61" s="319"/>
      <c r="E61" s="318"/>
    </row>
  </sheetData>
  <sheetProtection sheet="1"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20" zoomScaleNormal="120" workbookViewId="0" topLeftCell="A1">
      <selection activeCell="I57" sqref="I57"/>
    </sheetView>
  </sheetViews>
  <sheetFormatPr defaultColWidth="9.00390625" defaultRowHeight="12.75"/>
  <cols>
    <col min="1" max="1" width="13.00390625" style="91" customWidth="1"/>
    <col min="2" max="2" width="59.00390625" style="92" customWidth="1"/>
    <col min="3" max="5" width="15.875" style="92" customWidth="1"/>
    <col min="6" max="16384" width="9.375" style="92" customWidth="1"/>
  </cols>
  <sheetData>
    <row r="1" spans="1:5" s="82" customFormat="1" ht="16.5" thickBot="1">
      <c r="A1" s="387"/>
      <c r="B1" s="853" t="str">
        <f>CONCATENATE("6.2.1. melléklet ",Z_ALAPADATOK!A7," ",Z_ALAPADATOK!B7," ",Z_ALAPADATOK!C7," ",Z_ALAPADATOK!D7," ",Z_ALAPADATOK!E7," ",Z_ALAPADATOK!F7," ",Z_ALAPADATOK!G7," ",Z_ALAPADATOK!H7)</f>
        <v>6.2.1. melléklet a 2 / 2019. ( IV.26. ) önkormányzati rendelethez</v>
      </c>
      <c r="C1" s="854"/>
      <c r="D1" s="854"/>
      <c r="E1" s="854"/>
    </row>
    <row r="2" spans="1:5" s="214" customFormat="1" ht="24.75" thickBot="1">
      <c r="A2" s="388" t="s">
        <v>464</v>
      </c>
      <c r="B2" s="855" t="str">
        <f>CONCATENATE('Z_6.2.sz.mell'!B2:D2)</f>
        <v>Polgármesteri /közös/ hivatal</v>
      </c>
      <c r="C2" s="856"/>
      <c r="D2" s="857"/>
      <c r="E2" s="389" t="s">
        <v>43</v>
      </c>
    </row>
    <row r="3" spans="1:5" s="214" customFormat="1" ht="24.75" thickBot="1">
      <c r="A3" s="388" t="s">
        <v>137</v>
      </c>
      <c r="B3" s="855" t="s">
        <v>325</v>
      </c>
      <c r="C3" s="856"/>
      <c r="D3" s="857"/>
      <c r="E3" s="389" t="s">
        <v>43</v>
      </c>
    </row>
    <row r="4" spans="1:5" s="215" customFormat="1" ht="15.75" customHeight="1" thickBot="1">
      <c r="A4" s="390"/>
      <c r="B4" s="390"/>
      <c r="C4" s="391"/>
      <c r="D4" s="392"/>
      <c r="E4" s="391" t="str">
        <f>'Z_6.2.sz.mell'!E4</f>
        <v> Forintban!</v>
      </c>
    </row>
    <row r="5" spans="1:5" ht="24.75" thickBot="1">
      <c r="A5" s="393" t="s">
        <v>138</v>
      </c>
      <c r="B5" s="394" t="s">
        <v>496</v>
      </c>
      <c r="C5" s="394" t="s">
        <v>460</v>
      </c>
      <c r="D5" s="395" t="s">
        <v>461</v>
      </c>
      <c r="E5" s="376" t="str">
        <f>CONCATENATE('Z_6.2.sz.mell'!E5)</f>
        <v>Teljesítés
2018. XII. 31.</v>
      </c>
    </row>
    <row r="6" spans="1:5" s="216" customFormat="1" ht="12.75" customHeight="1" thickBot="1">
      <c r="A6" s="426" t="s">
        <v>388</v>
      </c>
      <c r="B6" s="427" t="s">
        <v>389</v>
      </c>
      <c r="C6" s="427" t="s">
        <v>390</v>
      </c>
      <c r="D6" s="428" t="s">
        <v>392</v>
      </c>
      <c r="E6" s="429" t="s">
        <v>391</v>
      </c>
    </row>
    <row r="7" spans="1:5" s="216" customFormat="1" ht="15.75" customHeight="1" thickBot="1">
      <c r="A7" s="849" t="s">
        <v>40</v>
      </c>
      <c r="B7" s="850"/>
      <c r="C7" s="850"/>
      <c r="D7" s="850"/>
      <c r="E7" s="851"/>
    </row>
    <row r="8" spans="1:5" s="152" customFormat="1" ht="12" customHeight="1" thickBot="1">
      <c r="A8" s="74" t="s">
        <v>6</v>
      </c>
      <c r="B8" s="83" t="s">
        <v>409</v>
      </c>
      <c r="C8" s="119">
        <f>SUM(C9:C19)</f>
        <v>0</v>
      </c>
      <c r="D8" s="119">
        <f>SUM(D9:D19)</f>
        <v>0</v>
      </c>
      <c r="E8" s="147">
        <f>SUM(E9:E19)</f>
        <v>0</v>
      </c>
    </row>
    <row r="9" spans="1:5" s="152" customFormat="1" ht="12" customHeight="1">
      <c r="A9" s="209" t="s">
        <v>64</v>
      </c>
      <c r="B9" s="8" t="s">
        <v>186</v>
      </c>
      <c r="C9" s="275"/>
      <c r="D9" s="275"/>
      <c r="E9" s="322"/>
    </row>
    <row r="10" spans="1:5" s="152" customFormat="1" ht="12" customHeight="1">
      <c r="A10" s="210" t="s">
        <v>65</v>
      </c>
      <c r="B10" s="6" t="s">
        <v>187</v>
      </c>
      <c r="C10" s="116"/>
      <c r="D10" s="116"/>
      <c r="E10" s="267"/>
    </row>
    <row r="11" spans="1:5" s="152" customFormat="1" ht="12" customHeight="1">
      <c r="A11" s="210" t="s">
        <v>66</v>
      </c>
      <c r="B11" s="6" t="s">
        <v>188</v>
      </c>
      <c r="C11" s="116"/>
      <c r="D11" s="116"/>
      <c r="E11" s="267"/>
    </row>
    <row r="12" spans="1:5" s="152" customFormat="1" ht="12" customHeight="1">
      <c r="A12" s="210" t="s">
        <v>67</v>
      </c>
      <c r="B12" s="6" t="s">
        <v>189</v>
      </c>
      <c r="C12" s="116"/>
      <c r="D12" s="116"/>
      <c r="E12" s="267"/>
    </row>
    <row r="13" spans="1:5" s="152" customFormat="1" ht="12" customHeight="1">
      <c r="A13" s="210" t="s">
        <v>99</v>
      </c>
      <c r="B13" s="6" t="s">
        <v>190</v>
      </c>
      <c r="C13" s="116"/>
      <c r="D13" s="116"/>
      <c r="E13" s="267"/>
    </row>
    <row r="14" spans="1:5" s="152" customFormat="1" ht="12" customHeight="1">
      <c r="A14" s="210" t="s">
        <v>68</v>
      </c>
      <c r="B14" s="6" t="s">
        <v>307</v>
      </c>
      <c r="C14" s="116"/>
      <c r="D14" s="116"/>
      <c r="E14" s="267"/>
    </row>
    <row r="15" spans="1:5" s="152" customFormat="1" ht="12" customHeight="1">
      <c r="A15" s="210" t="s">
        <v>69</v>
      </c>
      <c r="B15" s="5" t="s">
        <v>308</v>
      </c>
      <c r="C15" s="116"/>
      <c r="D15" s="116"/>
      <c r="E15" s="267"/>
    </row>
    <row r="16" spans="1:5" s="152" customFormat="1" ht="12" customHeight="1">
      <c r="A16" s="210" t="s">
        <v>77</v>
      </c>
      <c r="B16" s="6" t="s">
        <v>193</v>
      </c>
      <c r="C16" s="273"/>
      <c r="D16" s="273"/>
      <c r="E16" s="271"/>
    </row>
    <row r="17" spans="1:5" s="217" customFormat="1" ht="12" customHeight="1">
      <c r="A17" s="210" t="s">
        <v>78</v>
      </c>
      <c r="B17" s="6" t="s">
        <v>194</v>
      </c>
      <c r="C17" s="116"/>
      <c r="D17" s="116"/>
      <c r="E17" s="267"/>
    </row>
    <row r="18" spans="1:5" s="217" customFormat="1" ht="12" customHeight="1">
      <c r="A18" s="210" t="s">
        <v>79</v>
      </c>
      <c r="B18" s="6" t="s">
        <v>340</v>
      </c>
      <c r="C18" s="118"/>
      <c r="D18" s="118"/>
      <c r="E18" s="268"/>
    </row>
    <row r="19" spans="1:5" s="217" customFormat="1" ht="12" customHeight="1" thickBot="1">
      <c r="A19" s="210" t="s">
        <v>80</v>
      </c>
      <c r="B19" s="5" t="s">
        <v>195</v>
      </c>
      <c r="C19" s="118"/>
      <c r="D19" s="118"/>
      <c r="E19" s="268"/>
    </row>
    <row r="20" spans="1:5" s="152" customFormat="1" ht="12" customHeight="1" thickBot="1">
      <c r="A20" s="74" t="s">
        <v>7</v>
      </c>
      <c r="B20" s="83" t="s">
        <v>309</v>
      </c>
      <c r="C20" s="119">
        <f>SUM(C21:C23)</f>
        <v>0</v>
      </c>
      <c r="D20" s="119">
        <f>SUM(D21:D23)</f>
        <v>0</v>
      </c>
      <c r="E20" s="147">
        <f>SUM(E21:E23)</f>
        <v>0</v>
      </c>
    </row>
    <row r="21" spans="1:5" s="217" customFormat="1" ht="12" customHeight="1">
      <c r="A21" s="210" t="s">
        <v>70</v>
      </c>
      <c r="B21" s="7" t="s">
        <v>168</v>
      </c>
      <c r="C21" s="116"/>
      <c r="D21" s="116"/>
      <c r="E21" s="267"/>
    </row>
    <row r="22" spans="1:5" s="217" customFormat="1" ht="12" customHeight="1">
      <c r="A22" s="210" t="s">
        <v>71</v>
      </c>
      <c r="B22" s="6" t="s">
        <v>310</v>
      </c>
      <c r="C22" s="116"/>
      <c r="D22" s="116"/>
      <c r="E22" s="267"/>
    </row>
    <row r="23" spans="1:5" s="217" customFormat="1" ht="12" customHeight="1">
      <c r="A23" s="210" t="s">
        <v>72</v>
      </c>
      <c r="B23" s="6" t="s">
        <v>311</v>
      </c>
      <c r="C23" s="116"/>
      <c r="D23" s="116"/>
      <c r="E23" s="267"/>
    </row>
    <row r="24" spans="1:5" s="217" customFormat="1" ht="12" customHeight="1" thickBot="1">
      <c r="A24" s="210" t="s">
        <v>73</v>
      </c>
      <c r="B24" s="6" t="s">
        <v>410</v>
      </c>
      <c r="C24" s="116"/>
      <c r="D24" s="116"/>
      <c r="E24" s="267"/>
    </row>
    <row r="25" spans="1:5" s="217" customFormat="1" ht="12" customHeight="1" thickBot="1">
      <c r="A25" s="78" t="s">
        <v>8</v>
      </c>
      <c r="B25" s="56" t="s">
        <v>115</v>
      </c>
      <c r="C25" s="324"/>
      <c r="D25" s="324"/>
      <c r="E25" s="146"/>
    </row>
    <row r="26" spans="1:5" s="217" customFormat="1" ht="12" customHeight="1" thickBot="1">
      <c r="A26" s="78" t="s">
        <v>9</v>
      </c>
      <c r="B26" s="56" t="s">
        <v>411</v>
      </c>
      <c r="C26" s="119">
        <f>+C27+C28+C29</f>
        <v>0</v>
      </c>
      <c r="D26" s="119">
        <f>+D27+D28+D29</f>
        <v>0</v>
      </c>
      <c r="E26" s="147">
        <f>+E27+E28+E29</f>
        <v>0</v>
      </c>
    </row>
    <row r="27" spans="1:5" s="217" customFormat="1" ht="12" customHeight="1">
      <c r="A27" s="211" t="s">
        <v>177</v>
      </c>
      <c r="B27" s="212" t="s">
        <v>173</v>
      </c>
      <c r="C27" s="274"/>
      <c r="D27" s="274"/>
      <c r="E27" s="272"/>
    </row>
    <row r="28" spans="1:5" s="217" customFormat="1" ht="12" customHeight="1">
      <c r="A28" s="211" t="s">
        <v>178</v>
      </c>
      <c r="B28" s="212" t="s">
        <v>310</v>
      </c>
      <c r="C28" s="116"/>
      <c r="D28" s="116"/>
      <c r="E28" s="267"/>
    </row>
    <row r="29" spans="1:5" s="217" customFormat="1" ht="12" customHeight="1">
      <c r="A29" s="211" t="s">
        <v>179</v>
      </c>
      <c r="B29" s="213" t="s">
        <v>313</v>
      </c>
      <c r="C29" s="116"/>
      <c r="D29" s="116"/>
      <c r="E29" s="267"/>
    </row>
    <row r="30" spans="1:5" s="217" customFormat="1" ht="12" customHeight="1" thickBot="1">
      <c r="A30" s="210" t="s">
        <v>180</v>
      </c>
      <c r="B30" s="61" t="s">
        <v>412</v>
      </c>
      <c r="C30" s="47"/>
      <c r="D30" s="47"/>
      <c r="E30" s="323"/>
    </row>
    <row r="31" spans="1:5" s="217" customFormat="1" ht="12" customHeight="1" thickBot="1">
      <c r="A31" s="78" t="s">
        <v>10</v>
      </c>
      <c r="B31" s="56" t="s">
        <v>314</v>
      </c>
      <c r="C31" s="119">
        <f>+C32+C33+C34</f>
        <v>0</v>
      </c>
      <c r="D31" s="119">
        <f>+D32+D33+D34</f>
        <v>0</v>
      </c>
      <c r="E31" s="147">
        <f>+E32+E33+E34</f>
        <v>0</v>
      </c>
    </row>
    <row r="32" spans="1:5" s="217" customFormat="1" ht="12" customHeight="1">
      <c r="A32" s="211" t="s">
        <v>57</v>
      </c>
      <c r="B32" s="212" t="s">
        <v>200</v>
      </c>
      <c r="C32" s="274"/>
      <c r="D32" s="274"/>
      <c r="E32" s="272"/>
    </row>
    <row r="33" spans="1:5" s="217" customFormat="1" ht="12" customHeight="1">
      <c r="A33" s="211" t="s">
        <v>58</v>
      </c>
      <c r="B33" s="213" t="s">
        <v>201</v>
      </c>
      <c r="C33" s="120"/>
      <c r="D33" s="120"/>
      <c r="E33" s="269"/>
    </row>
    <row r="34" spans="1:5" s="217" customFormat="1" ht="12" customHeight="1" thickBot="1">
      <c r="A34" s="210" t="s">
        <v>59</v>
      </c>
      <c r="B34" s="61" t="s">
        <v>202</v>
      </c>
      <c r="C34" s="47"/>
      <c r="D34" s="47"/>
      <c r="E34" s="323"/>
    </row>
    <row r="35" spans="1:5" s="152" customFormat="1" ht="12" customHeight="1" thickBot="1">
      <c r="A35" s="78" t="s">
        <v>11</v>
      </c>
      <c r="B35" s="56" t="s">
        <v>285</v>
      </c>
      <c r="C35" s="324"/>
      <c r="D35" s="324"/>
      <c r="E35" s="146"/>
    </row>
    <row r="36" spans="1:5" s="152" customFormat="1" ht="12" customHeight="1" thickBot="1">
      <c r="A36" s="78" t="s">
        <v>12</v>
      </c>
      <c r="B36" s="56" t="s">
        <v>315</v>
      </c>
      <c r="C36" s="324"/>
      <c r="D36" s="324"/>
      <c r="E36" s="146"/>
    </row>
    <row r="37" spans="1:5" s="152" customFormat="1" ht="12" customHeight="1" thickBot="1">
      <c r="A37" s="74" t="s">
        <v>13</v>
      </c>
      <c r="B37" s="56" t="s">
        <v>316</v>
      </c>
      <c r="C37" s="119">
        <f>+C8+C20+C25+C26+C31+C35+C36</f>
        <v>0</v>
      </c>
      <c r="D37" s="119">
        <f>+D8+D20+D25+D26+D31+D35+D36</f>
        <v>0</v>
      </c>
      <c r="E37" s="147">
        <f>+E8+E20+E25+E26+E31+E35+E36</f>
        <v>0</v>
      </c>
    </row>
    <row r="38" spans="1:5" s="152" customFormat="1" ht="12" customHeight="1" thickBot="1">
      <c r="A38" s="84" t="s">
        <v>14</v>
      </c>
      <c r="B38" s="56" t="s">
        <v>317</v>
      </c>
      <c r="C38" s="119">
        <f>+C39+C40+C41</f>
        <v>0</v>
      </c>
      <c r="D38" s="119">
        <f>+D39+D40+D41</f>
        <v>0</v>
      </c>
      <c r="E38" s="147">
        <f>+E39+E40+E41</f>
        <v>0</v>
      </c>
    </row>
    <row r="39" spans="1:5" s="152" customFormat="1" ht="12" customHeight="1">
      <c r="A39" s="211" t="s">
        <v>318</v>
      </c>
      <c r="B39" s="212" t="s">
        <v>150</v>
      </c>
      <c r="C39" s="274"/>
      <c r="D39" s="274"/>
      <c r="E39" s="272"/>
    </row>
    <row r="40" spans="1:5" s="152" customFormat="1" ht="12" customHeight="1">
      <c r="A40" s="211" t="s">
        <v>319</v>
      </c>
      <c r="B40" s="213" t="s">
        <v>0</v>
      </c>
      <c r="C40" s="120"/>
      <c r="D40" s="120"/>
      <c r="E40" s="269"/>
    </row>
    <row r="41" spans="1:5" s="217" customFormat="1" ht="12" customHeight="1" thickBot="1">
      <c r="A41" s="210" t="s">
        <v>320</v>
      </c>
      <c r="B41" s="61" t="s">
        <v>321</v>
      </c>
      <c r="C41" s="47"/>
      <c r="D41" s="47"/>
      <c r="E41" s="323"/>
    </row>
    <row r="42" spans="1:5" s="217" customFormat="1" ht="15" customHeight="1" thickBot="1">
      <c r="A42" s="84" t="s">
        <v>15</v>
      </c>
      <c r="B42" s="85" t="s">
        <v>322</v>
      </c>
      <c r="C42" s="325">
        <f>+C37+C38</f>
        <v>0</v>
      </c>
      <c r="D42" s="325">
        <f>+D37+D38</f>
        <v>0</v>
      </c>
      <c r="E42" s="150">
        <f>+E37+E38</f>
        <v>0</v>
      </c>
    </row>
    <row r="43" spans="1:3" s="217" customFormat="1" ht="15" customHeight="1">
      <c r="A43" s="86"/>
      <c r="B43" s="87"/>
      <c r="C43" s="148"/>
    </row>
    <row r="44" spans="1:3" ht="13.5" thickBot="1">
      <c r="A44" s="88"/>
      <c r="B44" s="89"/>
      <c r="C44" s="149"/>
    </row>
    <row r="45" spans="1:5" s="216" customFormat="1" ht="16.5" customHeight="1" thickBot="1">
      <c r="A45" s="849" t="s">
        <v>41</v>
      </c>
      <c r="B45" s="850"/>
      <c r="C45" s="850"/>
      <c r="D45" s="850"/>
      <c r="E45" s="851"/>
    </row>
    <row r="46" spans="1:5" s="218" customFormat="1" ht="12" customHeight="1" thickBot="1">
      <c r="A46" s="78" t="s">
        <v>6</v>
      </c>
      <c r="B46" s="56" t="s">
        <v>323</v>
      </c>
      <c r="C46" s="119">
        <f>SUM(C47:C51)</f>
        <v>0</v>
      </c>
      <c r="D46" s="119">
        <f>SUM(D47:D51)</f>
        <v>0</v>
      </c>
      <c r="E46" s="147">
        <f>SUM(E47:E51)</f>
        <v>0</v>
      </c>
    </row>
    <row r="47" spans="1:5" ht="12" customHeight="1">
      <c r="A47" s="210" t="s">
        <v>64</v>
      </c>
      <c r="B47" s="7" t="s">
        <v>35</v>
      </c>
      <c r="C47" s="274"/>
      <c r="D47" s="274"/>
      <c r="E47" s="272"/>
    </row>
    <row r="48" spans="1:5" ht="12" customHeight="1">
      <c r="A48" s="210" t="s">
        <v>65</v>
      </c>
      <c r="B48" s="6" t="s">
        <v>124</v>
      </c>
      <c r="C48" s="46"/>
      <c r="D48" s="46"/>
      <c r="E48" s="270"/>
    </row>
    <row r="49" spans="1:5" ht="12" customHeight="1">
      <c r="A49" s="210" t="s">
        <v>66</v>
      </c>
      <c r="B49" s="6" t="s">
        <v>92</v>
      </c>
      <c r="C49" s="46"/>
      <c r="D49" s="46"/>
      <c r="E49" s="270"/>
    </row>
    <row r="50" spans="1:5" ht="12" customHeight="1">
      <c r="A50" s="210" t="s">
        <v>67</v>
      </c>
      <c r="B50" s="6" t="s">
        <v>125</v>
      </c>
      <c r="C50" s="46"/>
      <c r="D50" s="46"/>
      <c r="E50" s="270"/>
    </row>
    <row r="51" spans="1:5" ht="12" customHeight="1" thickBot="1">
      <c r="A51" s="210" t="s">
        <v>99</v>
      </c>
      <c r="B51" s="6" t="s">
        <v>126</v>
      </c>
      <c r="C51" s="46"/>
      <c r="D51" s="46"/>
      <c r="E51" s="270"/>
    </row>
    <row r="52" spans="1:5" ht="12" customHeight="1" thickBot="1">
      <c r="A52" s="78" t="s">
        <v>7</v>
      </c>
      <c r="B52" s="56" t="s">
        <v>324</v>
      </c>
      <c r="C52" s="119">
        <f>SUM(C53:C55)</f>
        <v>0</v>
      </c>
      <c r="D52" s="119">
        <f>SUM(D53:D55)</f>
        <v>0</v>
      </c>
      <c r="E52" s="147">
        <f>SUM(E53:E55)</f>
        <v>0</v>
      </c>
    </row>
    <row r="53" spans="1:5" s="218" customFormat="1" ht="12" customHeight="1">
      <c r="A53" s="210" t="s">
        <v>70</v>
      </c>
      <c r="B53" s="7" t="s">
        <v>145</v>
      </c>
      <c r="C53" s="274"/>
      <c r="D53" s="274"/>
      <c r="E53" s="272"/>
    </row>
    <row r="54" spans="1:5" ht="12" customHeight="1">
      <c r="A54" s="210" t="s">
        <v>71</v>
      </c>
      <c r="B54" s="6" t="s">
        <v>128</v>
      </c>
      <c r="C54" s="46"/>
      <c r="D54" s="46"/>
      <c r="E54" s="270"/>
    </row>
    <row r="55" spans="1:5" ht="12" customHeight="1">
      <c r="A55" s="210" t="s">
        <v>72</v>
      </c>
      <c r="B55" s="6" t="s">
        <v>42</v>
      </c>
      <c r="C55" s="46"/>
      <c r="D55" s="46"/>
      <c r="E55" s="270"/>
    </row>
    <row r="56" spans="1:5" ht="12" customHeight="1" thickBot="1">
      <c r="A56" s="210" t="s">
        <v>73</v>
      </c>
      <c r="B56" s="6" t="s">
        <v>413</v>
      </c>
      <c r="C56" s="46"/>
      <c r="D56" s="46"/>
      <c r="E56" s="270"/>
    </row>
    <row r="57" spans="1:5" ht="12" customHeight="1" thickBot="1">
      <c r="A57" s="78" t="s">
        <v>8</v>
      </c>
      <c r="B57" s="56" t="s">
        <v>2</v>
      </c>
      <c r="C57" s="324"/>
      <c r="D57" s="324"/>
      <c r="E57" s="146"/>
    </row>
    <row r="58" spans="1:5" ht="15" customHeight="1" thickBot="1">
      <c r="A58" s="78" t="s">
        <v>9</v>
      </c>
      <c r="B58" s="90" t="s">
        <v>417</v>
      </c>
      <c r="C58" s="325">
        <f>+C46+C52+C57</f>
        <v>0</v>
      </c>
      <c r="D58" s="325">
        <f>+D46+D52+D57</f>
        <v>0</v>
      </c>
      <c r="E58" s="150">
        <f>+E46+E52+E57</f>
        <v>0</v>
      </c>
    </row>
    <row r="59" spans="3:5" ht="13.5" thickBot="1">
      <c r="C59" s="724">
        <f>C42-C58</f>
        <v>0</v>
      </c>
      <c r="D59" s="724">
        <f>D42-D58</f>
        <v>0</v>
      </c>
      <c r="E59" s="151"/>
    </row>
    <row r="60" spans="1:5" ht="15" customHeight="1" thickBot="1">
      <c r="A60" s="330" t="s">
        <v>497</v>
      </c>
      <c r="B60" s="331"/>
      <c r="C60" s="319"/>
      <c r="D60" s="319"/>
      <c r="E60" s="318"/>
    </row>
    <row r="61" spans="1:5" ht="14.25" customHeight="1" thickBot="1">
      <c r="A61" s="332" t="s">
        <v>498</v>
      </c>
      <c r="B61" s="333"/>
      <c r="C61" s="319"/>
      <c r="D61" s="319"/>
      <c r="E61" s="318"/>
    </row>
  </sheetData>
  <sheetProtection sheet="1"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="120" zoomScaleNormal="120" zoomScalePageLayoutView="0" workbookViewId="0" topLeftCell="A1">
      <selection activeCell="M13" sqref="M13"/>
    </sheetView>
  </sheetViews>
  <sheetFormatPr defaultColWidth="9.00390625" defaultRowHeight="12.75"/>
  <cols>
    <col min="1" max="1" width="43.375" style="0" customWidth="1"/>
    <col min="2" max="2" width="49.125" style="0" customWidth="1"/>
    <col min="3" max="3" width="1.37890625" style="0" bestFit="1" customWidth="1"/>
    <col min="4" max="4" width="6.875" style="0" customWidth="1"/>
    <col min="5" max="5" width="1.4921875" style="0" bestFit="1" customWidth="1"/>
    <col min="7" max="7" width="1.4921875" style="0" bestFit="1" customWidth="1"/>
  </cols>
  <sheetData>
    <row r="1" spans="2:3" ht="12.75">
      <c r="B1">
        <v>2018</v>
      </c>
      <c r="C1" t="s">
        <v>873</v>
      </c>
    </row>
    <row r="2" spans="1:6" ht="15.75">
      <c r="A2" s="789" t="s">
        <v>505</v>
      </c>
      <c r="B2" s="789"/>
      <c r="C2" s="789"/>
      <c r="D2" s="789"/>
      <c r="E2" s="789"/>
      <c r="F2" s="789"/>
    </row>
    <row r="3" spans="1:7" ht="15.75">
      <c r="A3" s="792" t="s">
        <v>897</v>
      </c>
      <c r="B3" s="792"/>
      <c r="C3" s="792"/>
      <c r="D3" s="792"/>
      <c r="E3" s="792"/>
      <c r="F3" s="792"/>
      <c r="G3" s="792"/>
    </row>
    <row r="6" ht="15">
      <c r="A6" s="377" t="s">
        <v>853</v>
      </c>
    </row>
    <row r="7" spans="1:8" ht="12.75">
      <c r="A7" s="723" t="s">
        <v>847</v>
      </c>
      <c r="B7" s="766">
        <v>2</v>
      </c>
      <c r="C7" t="s">
        <v>848</v>
      </c>
      <c r="D7" t="s">
        <v>857</v>
      </c>
      <c r="E7" t="s">
        <v>849</v>
      </c>
      <c r="F7" s="786" t="s">
        <v>944</v>
      </c>
      <c r="G7" t="s">
        <v>850</v>
      </c>
      <c r="H7" t="s">
        <v>851</v>
      </c>
    </row>
    <row r="8" spans="1:6" ht="12.75">
      <c r="A8" s="723"/>
      <c r="B8" s="430"/>
      <c r="F8" s="430"/>
    </row>
    <row r="9" spans="1:6" ht="12.75">
      <c r="A9" s="723"/>
      <c r="B9" s="430"/>
      <c r="F9" s="430"/>
    </row>
    <row r="11" spans="1:7" ht="15.75">
      <c r="A11" s="790" t="s">
        <v>898</v>
      </c>
      <c r="B11" s="791"/>
      <c r="C11" s="791"/>
      <c r="D11" s="791"/>
      <c r="E11" s="791"/>
      <c r="F11" s="791"/>
      <c r="G11" s="791"/>
    </row>
    <row r="13" spans="1:7" ht="14.25">
      <c r="A13" s="378" t="s">
        <v>506</v>
      </c>
      <c r="B13" s="793" t="s">
        <v>908</v>
      </c>
      <c r="C13" s="794"/>
      <c r="D13" s="794"/>
      <c r="E13" s="794"/>
      <c r="F13" s="794"/>
      <c r="G13" s="794"/>
    </row>
    <row r="14" spans="2:7" ht="14.25">
      <c r="B14" s="767"/>
      <c r="C14" s="708"/>
      <c r="D14" s="708"/>
      <c r="E14" s="708"/>
      <c r="F14" s="708"/>
      <c r="G14" s="708"/>
    </row>
    <row r="15" spans="1:7" ht="14.25">
      <c r="A15" s="378" t="s">
        <v>507</v>
      </c>
      <c r="B15" s="793" t="s">
        <v>508</v>
      </c>
      <c r="C15" s="794"/>
      <c r="D15" s="794"/>
      <c r="E15" s="794"/>
      <c r="F15" s="794"/>
      <c r="G15" s="794"/>
    </row>
    <row r="16" spans="2:7" ht="14.25">
      <c r="B16" s="767"/>
      <c r="C16" s="708"/>
      <c r="D16" s="708"/>
      <c r="E16" s="708"/>
      <c r="F16" s="708"/>
      <c r="G16" s="708"/>
    </row>
    <row r="17" spans="1:7" ht="14.25">
      <c r="A17" s="378" t="s">
        <v>509</v>
      </c>
      <c r="B17" s="793" t="s">
        <v>510</v>
      </c>
      <c r="C17" s="794"/>
      <c r="D17" s="794"/>
      <c r="E17" s="794"/>
      <c r="F17" s="794"/>
      <c r="G17" s="794"/>
    </row>
    <row r="18" spans="2:7" ht="14.25">
      <c r="B18" s="767"/>
      <c r="C18" s="708"/>
      <c r="D18" s="708"/>
      <c r="E18" s="708"/>
      <c r="F18" s="708"/>
      <c r="G18" s="708"/>
    </row>
    <row r="19" spans="1:7" ht="14.25">
      <c r="A19" s="378" t="s">
        <v>511</v>
      </c>
      <c r="B19" s="793" t="s">
        <v>512</v>
      </c>
      <c r="C19" s="794"/>
      <c r="D19" s="794"/>
      <c r="E19" s="794"/>
      <c r="F19" s="794"/>
      <c r="G19" s="794"/>
    </row>
    <row r="20" spans="2:7" ht="14.25">
      <c r="B20" s="767"/>
      <c r="C20" s="708"/>
      <c r="D20" s="708"/>
      <c r="E20" s="708"/>
      <c r="F20" s="708"/>
      <c r="G20" s="708"/>
    </row>
    <row r="21" spans="1:7" ht="14.25">
      <c r="A21" s="378" t="s">
        <v>513</v>
      </c>
      <c r="B21" s="793" t="s">
        <v>514</v>
      </c>
      <c r="C21" s="794"/>
      <c r="D21" s="794"/>
      <c r="E21" s="794"/>
      <c r="F21" s="794"/>
      <c r="G21" s="794"/>
    </row>
    <row r="22" spans="2:7" ht="14.25">
      <c r="B22" s="767"/>
      <c r="C22" s="708"/>
      <c r="D22" s="708"/>
      <c r="E22" s="708"/>
      <c r="F22" s="708"/>
      <c r="G22" s="708"/>
    </row>
    <row r="23" spans="1:7" ht="14.25">
      <c r="A23" s="378" t="s">
        <v>515</v>
      </c>
      <c r="B23" s="793" t="s">
        <v>516</v>
      </c>
      <c r="C23" s="794"/>
      <c r="D23" s="794"/>
      <c r="E23" s="794"/>
      <c r="F23" s="794"/>
      <c r="G23" s="794"/>
    </row>
    <row r="24" spans="2:7" ht="14.25">
      <c r="B24" s="767"/>
      <c r="C24" s="708"/>
      <c r="D24" s="708"/>
      <c r="E24" s="708"/>
      <c r="F24" s="708"/>
      <c r="G24" s="708"/>
    </row>
    <row r="25" spans="1:7" ht="14.25">
      <c r="A25" s="378" t="s">
        <v>517</v>
      </c>
      <c r="B25" s="793" t="s">
        <v>518</v>
      </c>
      <c r="C25" s="794"/>
      <c r="D25" s="794"/>
      <c r="E25" s="794"/>
      <c r="F25" s="794"/>
      <c r="G25" s="794"/>
    </row>
    <row r="26" spans="2:7" ht="14.25">
      <c r="B26" s="767"/>
      <c r="C26" s="708"/>
      <c r="D26" s="708"/>
      <c r="E26" s="708"/>
      <c r="F26" s="708"/>
      <c r="G26" s="708"/>
    </row>
    <row r="27" spans="1:7" ht="14.25">
      <c r="A27" s="378" t="s">
        <v>519</v>
      </c>
      <c r="B27" s="793" t="s">
        <v>520</v>
      </c>
      <c r="C27" s="794"/>
      <c r="D27" s="794"/>
      <c r="E27" s="794"/>
      <c r="F27" s="794"/>
      <c r="G27" s="794"/>
    </row>
    <row r="28" spans="2:7" ht="14.25">
      <c r="B28" s="767"/>
      <c r="C28" s="708"/>
      <c r="D28" s="708"/>
      <c r="E28" s="708"/>
      <c r="F28" s="708"/>
      <c r="G28" s="708"/>
    </row>
    <row r="29" spans="1:7" ht="14.25">
      <c r="A29" s="378" t="s">
        <v>519</v>
      </c>
      <c r="B29" s="793" t="s">
        <v>521</v>
      </c>
      <c r="C29" s="794"/>
      <c r="D29" s="794"/>
      <c r="E29" s="794"/>
      <c r="F29" s="794"/>
      <c r="G29" s="794"/>
    </row>
    <row r="30" spans="2:7" ht="14.25">
      <c r="B30" s="767"/>
      <c r="C30" s="708"/>
      <c r="D30" s="708"/>
      <c r="E30" s="708"/>
      <c r="F30" s="708"/>
      <c r="G30" s="708"/>
    </row>
    <row r="31" spans="1:7" ht="14.25">
      <c r="A31" s="378" t="s">
        <v>522</v>
      </c>
      <c r="B31" s="793" t="s">
        <v>523</v>
      </c>
      <c r="C31" s="794"/>
      <c r="D31" s="794"/>
      <c r="E31" s="794"/>
      <c r="F31" s="794"/>
      <c r="G31" s="794"/>
    </row>
  </sheetData>
  <sheetProtection/>
  <mergeCells count="13">
    <mergeCell ref="B31:G31"/>
    <mergeCell ref="B19:G19"/>
    <mergeCell ref="B21:G21"/>
    <mergeCell ref="B23:G23"/>
    <mergeCell ref="B25:G25"/>
    <mergeCell ref="B27:G27"/>
    <mergeCell ref="B29:G29"/>
    <mergeCell ref="A2:F2"/>
    <mergeCell ref="A11:G11"/>
    <mergeCell ref="A3:G3"/>
    <mergeCell ref="B13:G13"/>
    <mergeCell ref="B15:G15"/>
    <mergeCell ref="B17:G17"/>
  </mergeCells>
  <dataValidations count="1">
    <dataValidation type="list" allowBlank="1" showInputMessage="1" showErrorMessage="1" sqref="A6">
      <formula1>",Előterjesztéskor,Jóváhagyás után"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20" zoomScaleNormal="120" workbookViewId="0" topLeftCell="A1">
      <selection activeCell="J21" sqref="J21"/>
    </sheetView>
  </sheetViews>
  <sheetFormatPr defaultColWidth="9.00390625" defaultRowHeight="12.75"/>
  <cols>
    <col min="1" max="1" width="13.00390625" style="91" customWidth="1"/>
    <col min="2" max="2" width="59.00390625" style="92" customWidth="1"/>
    <col min="3" max="5" width="15.875" style="92" customWidth="1"/>
    <col min="6" max="16384" width="9.375" style="92" customWidth="1"/>
  </cols>
  <sheetData>
    <row r="1" spans="1:5" s="82" customFormat="1" ht="16.5" thickBot="1">
      <c r="A1" s="387"/>
      <c r="B1" s="853" t="str">
        <f>CONCATENATE("6.2.2. melléklet ",Z_ALAPADATOK!A7," ",Z_ALAPADATOK!B7," ",Z_ALAPADATOK!C7," ",Z_ALAPADATOK!D7," ",Z_ALAPADATOK!E7," ",Z_ALAPADATOK!F7," ",Z_ALAPADATOK!G7," ",Z_ALAPADATOK!H7)</f>
        <v>6.2.2. melléklet a 2 / 2019. ( IV.26. ) önkormányzati rendelethez</v>
      </c>
      <c r="C1" s="854"/>
      <c r="D1" s="854"/>
      <c r="E1" s="854"/>
    </row>
    <row r="2" spans="1:5" s="214" customFormat="1" ht="24.75" thickBot="1">
      <c r="A2" s="388" t="s">
        <v>464</v>
      </c>
      <c r="B2" s="855" t="str">
        <f>CONCATENATE('Z_6.2.1.sz.mell'!B2:D2)</f>
        <v>Polgármesteri /közös/ hivatal</v>
      </c>
      <c r="C2" s="856"/>
      <c r="D2" s="857"/>
      <c r="E2" s="389" t="s">
        <v>43</v>
      </c>
    </row>
    <row r="3" spans="1:5" s="214" customFormat="1" ht="24.75" thickBot="1">
      <c r="A3" s="388" t="s">
        <v>137</v>
      </c>
      <c r="B3" s="855" t="s">
        <v>326</v>
      </c>
      <c r="C3" s="856"/>
      <c r="D3" s="857"/>
      <c r="E3" s="389" t="s">
        <v>44</v>
      </c>
    </row>
    <row r="4" spans="1:5" s="215" customFormat="1" ht="15.75" customHeight="1" thickBot="1">
      <c r="A4" s="390"/>
      <c r="B4" s="390"/>
      <c r="C4" s="391"/>
      <c r="D4" s="392"/>
      <c r="E4" s="391" t="str">
        <f>'Z_6.2.1.sz.mell'!E4</f>
        <v> Forintban!</v>
      </c>
    </row>
    <row r="5" spans="1:5" ht="24.75" thickBot="1">
      <c r="A5" s="393" t="s">
        <v>138</v>
      </c>
      <c r="B5" s="394" t="s">
        <v>496</v>
      </c>
      <c r="C5" s="394" t="s">
        <v>460</v>
      </c>
      <c r="D5" s="395" t="s">
        <v>461</v>
      </c>
      <c r="E5" s="376" t="str">
        <f>CONCATENATE('Z_6.2.1.sz.mell'!E5)</f>
        <v>Teljesítés
2018. XII. 31.</v>
      </c>
    </row>
    <row r="6" spans="1:5" s="216" customFormat="1" ht="12.75" customHeight="1" thickBot="1">
      <c r="A6" s="426" t="s">
        <v>388</v>
      </c>
      <c r="B6" s="427" t="s">
        <v>389</v>
      </c>
      <c r="C6" s="427" t="s">
        <v>390</v>
      </c>
      <c r="D6" s="428" t="s">
        <v>392</v>
      </c>
      <c r="E6" s="429" t="s">
        <v>391</v>
      </c>
    </row>
    <row r="7" spans="1:5" s="216" customFormat="1" ht="15.75" customHeight="1" thickBot="1">
      <c r="A7" s="849" t="s">
        <v>40</v>
      </c>
      <c r="B7" s="850"/>
      <c r="C7" s="850"/>
      <c r="D7" s="850"/>
      <c r="E7" s="851"/>
    </row>
    <row r="8" spans="1:5" s="152" customFormat="1" ht="12" customHeight="1" thickBot="1">
      <c r="A8" s="74" t="s">
        <v>6</v>
      </c>
      <c r="B8" s="83" t="s">
        <v>409</v>
      </c>
      <c r="C8" s="119">
        <f>SUM(C9:C19)</f>
        <v>0</v>
      </c>
      <c r="D8" s="119">
        <f>SUM(D9:D19)</f>
        <v>0</v>
      </c>
      <c r="E8" s="147">
        <f>SUM(E9:E19)</f>
        <v>0</v>
      </c>
    </row>
    <row r="9" spans="1:5" s="152" customFormat="1" ht="12" customHeight="1">
      <c r="A9" s="209" t="s">
        <v>64</v>
      </c>
      <c r="B9" s="8" t="s">
        <v>186</v>
      </c>
      <c r="C9" s="275"/>
      <c r="D9" s="275"/>
      <c r="E9" s="322"/>
    </row>
    <row r="10" spans="1:5" s="152" customFormat="1" ht="12" customHeight="1">
      <c r="A10" s="210" t="s">
        <v>65</v>
      </c>
      <c r="B10" s="6" t="s">
        <v>187</v>
      </c>
      <c r="C10" s="116"/>
      <c r="D10" s="116"/>
      <c r="E10" s="267"/>
    </row>
    <row r="11" spans="1:5" s="152" customFormat="1" ht="12" customHeight="1">
      <c r="A11" s="210" t="s">
        <v>66</v>
      </c>
      <c r="B11" s="6" t="s">
        <v>188</v>
      </c>
      <c r="C11" s="116"/>
      <c r="D11" s="116"/>
      <c r="E11" s="267"/>
    </row>
    <row r="12" spans="1:5" s="152" customFormat="1" ht="12" customHeight="1">
      <c r="A12" s="210" t="s">
        <v>67</v>
      </c>
      <c r="B12" s="6" t="s">
        <v>189</v>
      </c>
      <c r="C12" s="116"/>
      <c r="D12" s="116"/>
      <c r="E12" s="267"/>
    </row>
    <row r="13" spans="1:5" s="152" customFormat="1" ht="12" customHeight="1">
      <c r="A13" s="210" t="s">
        <v>99</v>
      </c>
      <c r="B13" s="6" t="s">
        <v>190</v>
      </c>
      <c r="C13" s="116"/>
      <c r="D13" s="116"/>
      <c r="E13" s="267"/>
    </row>
    <row r="14" spans="1:5" s="152" customFormat="1" ht="12" customHeight="1">
      <c r="A14" s="210" t="s">
        <v>68</v>
      </c>
      <c r="B14" s="6" t="s">
        <v>307</v>
      </c>
      <c r="C14" s="116"/>
      <c r="D14" s="116"/>
      <c r="E14" s="267"/>
    </row>
    <row r="15" spans="1:5" s="152" customFormat="1" ht="12" customHeight="1">
      <c r="A15" s="210" t="s">
        <v>69</v>
      </c>
      <c r="B15" s="5" t="s">
        <v>308</v>
      </c>
      <c r="C15" s="116"/>
      <c r="D15" s="116"/>
      <c r="E15" s="267"/>
    </row>
    <row r="16" spans="1:5" s="152" customFormat="1" ht="12" customHeight="1">
      <c r="A16" s="210" t="s">
        <v>77</v>
      </c>
      <c r="B16" s="6" t="s">
        <v>193</v>
      </c>
      <c r="C16" s="273"/>
      <c r="D16" s="273"/>
      <c r="E16" s="271"/>
    </row>
    <row r="17" spans="1:5" s="217" customFormat="1" ht="12" customHeight="1">
      <c r="A17" s="210" t="s">
        <v>78</v>
      </c>
      <c r="B17" s="6" t="s">
        <v>194</v>
      </c>
      <c r="C17" s="116"/>
      <c r="D17" s="116"/>
      <c r="E17" s="267"/>
    </row>
    <row r="18" spans="1:5" s="217" customFormat="1" ht="12" customHeight="1">
      <c r="A18" s="210" t="s">
        <v>79</v>
      </c>
      <c r="B18" s="6" t="s">
        <v>340</v>
      </c>
      <c r="C18" s="118"/>
      <c r="D18" s="118"/>
      <c r="E18" s="268"/>
    </row>
    <row r="19" spans="1:5" s="217" customFormat="1" ht="12" customHeight="1" thickBot="1">
      <c r="A19" s="210" t="s">
        <v>80</v>
      </c>
      <c r="B19" s="5" t="s">
        <v>195</v>
      </c>
      <c r="C19" s="118"/>
      <c r="D19" s="118"/>
      <c r="E19" s="268"/>
    </row>
    <row r="20" spans="1:5" s="152" customFormat="1" ht="12" customHeight="1" thickBot="1">
      <c r="A20" s="74" t="s">
        <v>7</v>
      </c>
      <c r="B20" s="83" t="s">
        <v>309</v>
      </c>
      <c r="C20" s="119">
        <f>SUM(C21:C23)</f>
        <v>0</v>
      </c>
      <c r="D20" s="119">
        <f>SUM(D21:D23)</f>
        <v>0</v>
      </c>
      <c r="E20" s="147">
        <f>SUM(E21:E23)</f>
        <v>0</v>
      </c>
    </row>
    <row r="21" spans="1:5" s="217" customFormat="1" ht="12" customHeight="1">
      <c r="A21" s="210" t="s">
        <v>70</v>
      </c>
      <c r="B21" s="7" t="s">
        <v>168</v>
      </c>
      <c r="C21" s="116"/>
      <c r="D21" s="116"/>
      <c r="E21" s="267"/>
    </row>
    <row r="22" spans="1:5" s="217" customFormat="1" ht="12" customHeight="1">
      <c r="A22" s="210" t="s">
        <v>71</v>
      </c>
      <c r="B22" s="6" t="s">
        <v>310</v>
      </c>
      <c r="C22" s="116"/>
      <c r="D22" s="116"/>
      <c r="E22" s="267"/>
    </row>
    <row r="23" spans="1:5" s="217" customFormat="1" ht="12" customHeight="1">
      <c r="A23" s="210" t="s">
        <v>72</v>
      </c>
      <c r="B23" s="6" t="s">
        <v>311</v>
      </c>
      <c r="C23" s="116"/>
      <c r="D23" s="116"/>
      <c r="E23" s="267"/>
    </row>
    <row r="24" spans="1:5" s="217" customFormat="1" ht="12" customHeight="1" thickBot="1">
      <c r="A24" s="210" t="s">
        <v>73</v>
      </c>
      <c r="B24" s="6" t="s">
        <v>410</v>
      </c>
      <c r="C24" s="116"/>
      <c r="D24" s="116"/>
      <c r="E24" s="267"/>
    </row>
    <row r="25" spans="1:5" s="217" customFormat="1" ht="12" customHeight="1" thickBot="1">
      <c r="A25" s="78" t="s">
        <v>8</v>
      </c>
      <c r="B25" s="56" t="s">
        <v>115</v>
      </c>
      <c r="C25" s="324"/>
      <c r="D25" s="324"/>
      <c r="E25" s="146"/>
    </row>
    <row r="26" spans="1:5" s="217" customFormat="1" ht="12" customHeight="1" thickBot="1">
      <c r="A26" s="78" t="s">
        <v>9</v>
      </c>
      <c r="B26" s="56" t="s">
        <v>411</v>
      </c>
      <c r="C26" s="119">
        <f>+C27+C28+C29</f>
        <v>0</v>
      </c>
      <c r="D26" s="119">
        <f>+D27+D28+D29</f>
        <v>0</v>
      </c>
      <c r="E26" s="147">
        <f>+E27+E28+E29</f>
        <v>0</v>
      </c>
    </row>
    <row r="27" spans="1:5" s="217" customFormat="1" ht="12" customHeight="1">
      <c r="A27" s="211" t="s">
        <v>177</v>
      </c>
      <c r="B27" s="212" t="s">
        <v>173</v>
      </c>
      <c r="C27" s="274"/>
      <c r="D27" s="274"/>
      <c r="E27" s="272"/>
    </row>
    <row r="28" spans="1:5" s="217" customFormat="1" ht="12" customHeight="1">
      <c r="A28" s="211" t="s">
        <v>178</v>
      </c>
      <c r="B28" s="212" t="s">
        <v>310</v>
      </c>
      <c r="C28" s="116"/>
      <c r="D28" s="116"/>
      <c r="E28" s="267"/>
    </row>
    <row r="29" spans="1:5" s="217" customFormat="1" ht="12" customHeight="1">
      <c r="A29" s="211" t="s">
        <v>179</v>
      </c>
      <c r="B29" s="213" t="s">
        <v>313</v>
      </c>
      <c r="C29" s="116"/>
      <c r="D29" s="116"/>
      <c r="E29" s="267"/>
    </row>
    <row r="30" spans="1:5" s="217" customFormat="1" ht="12" customHeight="1" thickBot="1">
      <c r="A30" s="210" t="s">
        <v>180</v>
      </c>
      <c r="B30" s="61" t="s">
        <v>412</v>
      </c>
      <c r="C30" s="47"/>
      <c r="D30" s="47"/>
      <c r="E30" s="323"/>
    </row>
    <row r="31" spans="1:5" s="217" customFormat="1" ht="12" customHeight="1" thickBot="1">
      <c r="A31" s="78" t="s">
        <v>10</v>
      </c>
      <c r="B31" s="56" t="s">
        <v>314</v>
      </c>
      <c r="C31" s="119">
        <f>+C32+C33+C34</f>
        <v>0</v>
      </c>
      <c r="D31" s="119">
        <f>+D32+D33+D34</f>
        <v>0</v>
      </c>
      <c r="E31" s="147">
        <f>+E32+E33+E34</f>
        <v>0</v>
      </c>
    </row>
    <row r="32" spans="1:5" s="217" customFormat="1" ht="12" customHeight="1">
      <c r="A32" s="211" t="s">
        <v>57</v>
      </c>
      <c r="B32" s="212" t="s">
        <v>200</v>
      </c>
      <c r="C32" s="274"/>
      <c r="D32" s="274"/>
      <c r="E32" s="272"/>
    </row>
    <row r="33" spans="1:5" s="217" customFormat="1" ht="12" customHeight="1">
      <c r="A33" s="211" t="s">
        <v>58</v>
      </c>
      <c r="B33" s="213" t="s">
        <v>201</v>
      </c>
      <c r="C33" s="120"/>
      <c r="D33" s="120"/>
      <c r="E33" s="269"/>
    </row>
    <row r="34" spans="1:5" s="217" customFormat="1" ht="12" customHeight="1" thickBot="1">
      <c r="A34" s="210" t="s">
        <v>59</v>
      </c>
      <c r="B34" s="61" t="s">
        <v>202</v>
      </c>
      <c r="C34" s="47"/>
      <c r="D34" s="47"/>
      <c r="E34" s="323"/>
    </row>
    <row r="35" spans="1:5" s="152" customFormat="1" ht="12" customHeight="1" thickBot="1">
      <c r="A35" s="78" t="s">
        <v>11</v>
      </c>
      <c r="B35" s="56" t="s">
        <v>285</v>
      </c>
      <c r="C35" s="324"/>
      <c r="D35" s="324"/>
      <c r="E35" s="146"/>
    </row>
    <row r="36" spans="1:5" s="152" customFormat="1" ht="12" customHeight="1" thickBot="1">
      <c r="A36" s="78" t="s">
        <v>12</v>
      </c>
      <c r="B36" s="56" t="s">
        <v>315</v>
      </c>
      <c r="C36" s="324"/>
      <c r="D36" s="324"/>
      <c r="E36" s="146"/>
    </row>
    <row r="37" spans="1:5" s="152" customFormat="1" ht="12" customHeight="1" thickBot="1">
      <c r="A37" s="74" t="s">
        <v>13</v>
      </c>
      <c r="B37" s="56" t="s">
        <v>316</v>
      </c>
      <c r="C37" s="119">
        <f>+C8+C20+C25+C26+C31+C35+C36</f>
        <v>0</v>
      </c>
      <c r="D37" s="119">
        <f>+D8+D20+D25+D26+D31+D35+D36</f>
        <v>0</v>
      </c>
      <c r="E37" s="147">
        <f>+E8+E20+E25+E26+E31+E35+E36</f>
        <v>0</v>
      </c>
    </row>
    <row r="38" spans="1:5" s="152" customFormat="1" ht="12" customHeight="1" thickBot="1">
      <c r="A38" s="84" t="s">
        <v>14</v>
      </c>
      <c r="B38" s="56" t="s">
        <v>317</v>
      </c>
      <c r="C38" s="119">
        <f>+C39+C40+C41</f>
        <v>0</v>
      </c>
      <c r="D38" s="119">
        <f>+D39+D40+D41</f>
        <v>0</v>
      </c>
      <c r="E38" s="147">
        <f>+E39+E40+E41</f>
        <v>0</v>
      </c>
    </row>
    <row r="39" spans="1:5" s="152" customFormat="1" ht="12" customHeight="1">
      <c r="A39" s="211" t="s">
        <v>318</v>
      </c>
      <c r="B39" s="212" t="s">
        <v>150</v>
      </c>
      <c r="C39" s="274"/>
      <c r="D39" s="274"/>
      <c r="E39" s="272"/>
    </row>
    <row r="40" spans="1:5" s="152" customFormat="1" ht="12" customHeight="1">
      <c r="A40" s="211" t="s">
        <v>319</v>
      </c>
      <c r="B40" s="213" t="s">
        <v>0</v>
      </c>
      <c r="C40" s="120"/>
      <c r="D40" s="120"/>
      <c r="E40" s="269"/>
    </row>
    <row r="41" spans="1:5" s="217" customFormat="1" ht="12" customHeight="1" thickBot="1">
      <c r="A41" s="210" t="s">
        <v>320</v>
      </c>
      <c r="B41" s="61" t="s">
        <v>321</v>
      </c>
      <c r="C41" s="47"/>
      <c r="D41" s="47"/>
      <c r="E41" s="323"/>
    </row>
    <row r="42" spans="1:5" s="217" customFormat="1" ht="15" customHeight="1" thickBot="1">
      <c r="A42" s="84" t="s">
        <v>15</v>
      </c>
      <c r="B42" s="85" t="s">
        <v>322</v>
      </c>
      <c r="C42" s="325">
        <f>+C37+C38</f>
        <v>0</v>
      </c>
      <c r="D42" s="325">
        <f>+D37+D38</f>
        <v>0</v>
      </c>
      <c r="E42" s="150">
        <f>+E37+E38</f>
        <v>0</v>
      </c>
    </row>
    <row r="43" spans="1:3" s="217" customFormat="1" ht="15" customHeight="1">
      <c r="A43" s="86"/>
      <c r="B43" s="87"/>
      <c r="C43" s="148"/>
    </row>
    <row r="44" spans="1:3" ht="13.5" thickBot="1">
      <c r="A44" s="88"/>
      <c r="B44" s="89"/>
      <c r="C44" s="149"/>
    </row>
    <row r="45" spans="1:5" s="216" customFormat="1" ht="16.5" customHeight="1" thickBot="1">
      <c r="A45" s="849" t="s">
        <v>41</v>
      </c>
      <c r="B45" s="850"/>
      <c r="C45" s="850"/>
      <c r="D45" s="850"/>
      <c r="E45" s="851"/>
    </row>
    <row r="46" spans="1:5" s="218" customFormat="1" ht="12" customHeight="1" thickBot="1">
      <c r="A46" s="78" t="s">
        <v>6</v>
      </c>
      <c r="B46" s="56" t="s">
        <v>323</v>
      </c>
      <c r="C46" s="119">
        <f>SUM(C47:C51)</f>
        <v>0</v>
      </c>
      <c r="D46" s="119">
        <f>SUM(D47:D51)</f>
        <v>0</v>
      </c>
      <c r="E46" s="147">
        <f>SUM(E47:E51)</f>
        <v>0</v>
      </c>
    </row>
    <row r="47" spans="1:5" ht="12" customHeight="1">
      <c r="A47" s="210" t="s">
        <v>64</v>
      </c>
      <c r="B47" s="7" t="s">
        <v>35</v>
      </c>
      <c r="C47" s="274"/>
      <c r="D47" s="274"/>
      <c r="E47" s="272"/>
    </row>
    <row r="48" spans="1:5" ht="12" customHeight="1">
      <c r="A48" s="210" t="s">
        <v>65</v>
      </c>
      <c r="B48" s="6" t="s">
        <v>124</v>
      </c>
      <c r="C48" s="46"/>
      <c r="D48" s="46"/>
      <c r="E48" s="270"/>
    </row>
    <row r="49" spans="1:5" ht="12" customHeight="1">
      <c r="A49" s="210" t="s">
        <v>66</v>
      </c>
      <c r="B49" s="6" t="s">
        <v>92</v>
      </c>
      <c r="C49" s="46"/>
      <c r="D49" s="46"/>
      <c r="E49" s="270"/>
    </row>
    <row r="50" spans="1:5" ht="12" customHeight="1">
      <c r="A50" s="210" t="s">
        <v>67</v>
      </c>
      <c r="B50" s="6" t="s">
        <v>125</v>
      </c>
      <c r="C50" s="46"/>
      <c r="D50" s="46"/>
      <c r="E50" s="270"/>
    </row>
    <row r="51" spans="1:5" ht="12" customHeight="1" thickBot="1">
      <c r="A51" s="210" t="s">
        <v>99</v>
      </c>
      <c r="B51" s="6" t="s">
        <v>126</v>
      </c>
      <c r="C51" s="46"/>
      <c r="D51" s="46"/>
      <c r="E51" s="270"/>
    </row>
    <row r="52" spans="1:5" ht="12" customHeight="1" thickBot="1">
      <c r="A52" s="78" t="s">
        <v>7</v>
      </c>
      <c r="B52" s="56" t="s">
        <v>324</v>
      </c>
      <c r="C52" s="119">
        <f>SUM(C53:C55)</f>
        <v>0</v>
      </c>
      <c r="D52" s="119">
        <f>SUM(D53:D55)</f>
        <v>0</v>
      </c>
      <c r="E52" s="147">
        <f>SUM(E53:E55)</f>
        <v>0</v>
      </c>
    </row>
    <row r="53" spans="1:5" s="218" customFormat="1" ht="12" customHeight="1">
      <c r="A53" s="210" t="s">
        <v>70</v>
      </c>
      <c r="B53" s="7" t="s">
        <v>145</v>
      </c>
      <c r="C53" s="274"/>
      <c r="D53" s="274"/>
      <c r="E53" s="272"/>
    </row>
    <row r="54" spans="1:5" ht="12" customHeight="1">
      <c r="A54" s="210" t="s">
        <v>71</v>
      </c>
      <c r="B54" s="6" t="s">
        <v>128</v>
      </c>
      <c r="C54" s="46"/>
      <c r="D54" s="46"/>
      <c r="E54" s="270"/>
    </row>
    <row r="55" spans="1:5" ht="12" customHeight="1">
      <c r="A55" s="210" t="s">
        <v>72</v>
      </c>
      <c r="B55" s="6" t="s">
        <v>42</v>
      </c>
      <c r="C55" s="46"/>
      <c r="D55" s="46"/>
      <c r="E55" s="270"/>
    </row>
    <row r="56" spans="1:5" ht="12" customHeight="1" thickBot="1">
      <c r="A56" s="210" t="s">
        <v>73</v>
      </c>
      <c r="B56" s="6" t="s">
        <v>413</v>
      </c>
      <c r="C56" s="46"/>
      <c r="D56" s="46"/>
      <c r="E56" s="270"/>
    </row>
    <row r="57" spans="1:5" ht="12" customHeight="1" thickBot="1">
      <c r="A57" s="78" t="s">
        <v>8</v>
      </c>
      <c r="B57" s="56" t="s">
        <v>2</v>
      </c>
      <c r="C57" s="324"/>
      <c r="D57" s="324"/>
      <c r="E57" s="146"/>
    </row>
    <row r="58" spans="1:5" ht="15" customHeight="1" thickBot="1">
      <c r="A58" s="78" t="s">
        <v>9</v>
      </c>
      <c r="B58" s="90" t="s">
        <v>417</v>
      </c>
      <c r="C58" s="325">
        <f>+C46+C52+C57</f>
        <v>0</v>
      </c>
      <c r="D58" s="325">
        <f>+D46+D52+D57</f>
        <v>0</v>
      </c>
      <c r="E58" s="150">
        <f>+E46+E52+E57</f>
        <v>0</v>
      </c>
    </row>
    <row r="59" spans="3:5" ht="13.5" thickBot="1">
      <c r="C59" s="724">
        <f>C42-C58</f>
        <v>0</v>
      </c>
      <c r="D59" s="724">
        <f>D42-D58</f>
        <v>0</v>
      </c>
      <c r="E59" s="151"/>
    </row>
    <row r="60" spans="1:5" ht="15" customHeight="1" thickBot="1">
      <c r="A60" s="330" t="s">
        <v>497</v>
      </c>
      <c r="B60" s="331"/>
      <c r="C60" s="319"/>
      <c r="D60" s="319"/>
      <c r="E60" s="318"/>
    </row>
    <row r="61" spans="1:5" ht="14.25" customHeight="1" thickBot="1">
      <c r="A61" s="332" t="s">
        <v>498</v>
      </c>
      <c r="B61" s="333"/>
      <c r="C61" s="319"/>
      <c r="D61" s="319"/>
      <c r="E61" s="318"/>
    </row>
  </sheetData>
  <sheetProtection sheet="1"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20" zoomScaleNormal="120" workbookViewId="0" topLeftCell="A1">
      <selection activeCell="E61" sqref="E61"/>
    </sheetView>
  </sheetViews>
  <sheetFormatPr defaultColWidth="9.00390625" defaultRowHeight="12.75"/>
  <cols>
    <col min="1" max="1" width="13.00390625" style="91" customWidth="1"/>
    <col min="2" max="2" width="59.00390625" style="92" customWidth="1"/>
    <col min="3" max="5" width="15.875" style="92" customWidth="1"/>
    <col min="6" max="16384" width="9.375" style="92" customWidth="1"/>
  </cols>
  <sheetData>
    <row r="1" spans="1:5" s="82" customFormat="1" ht="21" customHeight="1" thickBot="1">
      <c r="A1" s="387"/>
      <c r="B1" s="858" t="str">
        <f>CONCATENATE("6.2.3. melléklet ",Z_ALAPADATOK!A7," ",Z_ALAPADATOK!B7," ",Z_ALAPADATOK!C7," ",Z_ALAPADATOK!D7," ",Z_ALAPADATOK!E7," ",Z_ALAPADATOK!F7," ",Z_ALAPADATOK!G7," ",Z_ALAPADATOK!H7)</f>
        <v>6.2.3. melléklet a 2 / 2019. ( IV.26. ) önkormányzati rendelethez</v>
      </c>
      <c r="C1" s="859"/>
      <c r="D1" s="859"/>
      <c r="E1" s="859"/>
    </row>
    <row r="2" spans="1:5" s="214" customFormat="1" ht="24.75" thickBot="1">
      <c r="A2" s="388" t="s">
        <v>464</v>
      </c>
      <c r="B2" s="855" t="str">
        <f>CONCATENATE('Z_6.2.2.sz.mell'!B2:D2)</f>
        <v>Polgármesteri /közös/ hivatal</v>
      </c>
      <c r="C2" s="856"/>
      <c r="D2" s="857"/>
      <c r="E2" s="389" t="s">
        <v>43</v>
      </c>
    </row>
    <row r="3" spans="1:5" s="214" customFormat="1" ht="24.75" thickBot="1">
      <c r="A3" s="388" t="s">
        <v>137</v>
      </c>
      <c r="B3" s="855" t="s">
        <v>418</v>
      </c>
      <c r="C3" s="856"/>
      <c r="D3" s="857"/>
      <c r="E3" s="389" t="s">
        <v>335</v>
      </c>
    </row>
    <row r="4" spans="1:5" s="215" customFormat="1" ht="15.75" customHeight="1" thickBot="1">
      <c r="A4" s="390"/>
      <c r="B4" s="390"/>
      <c r="C4" s="391"/>
      <c r="D4" s="392"/>
      <c r="E4" s="391" t="str">
        <f>'Z_6.2.2.sz.mell'!E4</f>
        <v> Forintban!</v>
      </c>
    </row>
    <row r="5" spans="1:5" ht="24.75" thickBot="1">
      <c r="A5" s="393" t="s">
        <v>138</v>
      </c>
      <c r="B5" s="394" t="s">
        <v>496</v>
      </c>
      <c r="C5" s="394" t="s">
        <v>460</v>
      </c>
      <c r="D5" s="395" t="s">
        <v>461</v>
      </c>
      <c r="E5" s="376" t="str">
        <f>CONCATENATE('Z_6.2.2.sz.mell'!E5)</f>
        <v>Teljesítés
2018. XII. 31.</v>
      </c>
    </row>
    <row r="6" spans="1:5" s="216" customFormat="1" ht="12.75" customHeight="1" thickBot="1">
      <c r="A6" s="426" t="s">
        <v>388</v>
      </c>
      <c r="B6" s="427" t="s">
        <v>389</v>
      </c>
      <c r="C6" s="427" t="s">
        <v>390</v>
      </c>
      <c r="D6" s="428" t="s">
        <v>392</v>
      </c>
      <c r="E6" s="429" t="s">
        <v>391</v>
      </c>
    </row>
    <row r="7" spans="1:5" s="216" customFormat="1" ht="15.75" customHeight="1" thickBot="1">
      <c r="A7" s="849" t="s">
        <v>40</v>
      </c>
      <c r="B7" s="850"/>
      <c r="C7" s="850"/>
      <c r="D7" s="850"/>
      <c r="E7" s="851"/>
    </row>
    <row r="8" spans="1:5" s="152" customFormat="1" ht="12" customHeight="1" thickBot="1">
      <c r="A8" s="74" t="s">
        <v>6</v>
      </c>
      <c r="B8" s="83" t="s">
        <v>409</v>
      </c>
      <c r="C8" s="119">
        <f>SUM(C9:C19)</f>
        <v>180000</v>
      </c>
      <c r="D8" s="119">
        <f>SUM(D9:D19)</f>
        <v>507530</v>
      </c>
      <c r="E8" s="147">
        <f>SUM(E9:E19)</f>
        <v>508020</v>
      </c>
    </row>
    <row r="9" spans="1:5" s="152" customFormat="1" ht="12" customHeight="1">
      <c r="A9" s="209" t="s">
        <v>64</v>
      </c>
      <c r="B9" s="8" t="s">
        <v>186</v>
      </c>
      <c r="C9" s="275"/>
      <c r="D9" s="275"/>
      <c r="E9" s="322"/>
    </row>
    <row r="10" spans="1:5" s="152" customFormat="1" ht="12" customHeight="1">
      <c r="A10" s="210" t="s">
        <v>65</v>
      </c>
      <c r="B10" s="6" t="s">
        <v>187</v>
      </c>
      <c r="C10" s="116">
        <v>180000</v>
      </c>
      <c r="D10" s="116">
        <v>244860</v>
      </c>
      <c r="E10" s="267">
        <v>244860</v>
      </c>
    </row>
    <row r="11" spans="1:5" s="152" customFormat="1" ht="12" customHeight="1">
      <c r="A11" s="210" t="s">
        <v>66</v>
      </c>
      <c r="B11" s="6" t="s">
        <v>188</v>
      </c>
      <c r="C11" s="116"/>
      <c r="D11" s="116"/>
      <c r="E11" s="267"/>
    </row>
    <row r="12" spans="1:5" s="152" customFormat="1" ht="12" customHeight="1">
      <c r="A12" s="210" t="s">
        <v>67</v>
      </c>
      <c r="B12" s="6" t="s">
        <v>189</v>
      </c>
      <c r="C12" s="116"/>
      <c r="D12" s="116"/>
      <c r="E12" s="267"/>
    </row>
    <row r="13" spans="1:5" s="152" customFormat="1" ht="12" customHeight="1">
      <c r="A13" s="210" t="s">
        <v>99</v>
      </c>
      <c r="B13" s="6" t="s">
        <v>190</v>
      </c>
      <c r="C13" s="116"/>
      <c r="D13" s="116"/>
      <c r="E13" s="267"/>
    </row>
    <row r="14" spans="1:5" s="152" customFormat="1" ht="12" customHeight="1">
      <c r="A14" s="210" t="s">
        <v>68</v>
      </c>
      <c r="B14" s="6" t="s">
        <v>307</v>
      </c>
      <c r="C14" s="116"/>
      <c r="D14" s="116">
        <v>10911</v>
      </c>
      <c r="E14" s="267">
        <v>10911</v>
      </c>
    </row>
    <row r="15" spans="1:5" s="152" customFormat="1" ht="12" customHeight="1">
      <c r="A15" s="210" t="s">
        <v>69</v>
      </c>
      <c r="B15" s="5" t="s">
        <v>308</v>
      </c>
      <c r="C15" s="116"/>
      <c r="D15" s="116"/>
      <c r="E15" s="267"/>
    </row>
    <row r="16" spans="1:5" s="152" customFormat="1" ht="12" customHeight="1">
      <c r="A16" s="210" t="s">
        <v>77</v>
      </c>
      <c r="B16" s="6" t="s">
        <v>193</v>
      </c>
      <c r="C16" s="273"/>
      <c r="D16" s="273">
        <v>19585</v>
      </c>
      <c r="E16" s="271">
        <v>20075</v>
      </c>
    </row>
    <row r="17" spans="1:5" s="217" customFormat="1" ht="12" customHeight="1">
      <c r="A17" s="210" t="s">
        <v>78</v>
      </c>
      <c r="B17" s="6" t="s">
        <v>194</v>
      </c>
      <c r="C17" s="116"/>
      <c r="D17" s="116"/>
      <c r="E17" s="267"/>
    </row>
    <row r="18" spans="1:5" s="217" customFormat="1" ht="12" customHeight="1">
      <c r="A18" s="210" t="s">
        <v>79</v>
      </c>
      <c r="B18" s="6" t="s">
        <v>340</v>
      </c>
      <c r="C18" s="118"/>
      <c r="D18" s="118"/>
      <c r="E18" s="268"/>
    </row>
    <row r="19" spans="1:5" s="217" customFormat="1" ht="12" customHeight="1" thickBot="1">
      <c r="A19" s="210" t="s">
        <v>80</v>
      </c>
      <c r="B19" s="5" t="s">
        <v>195</v>
      </c>
      <c r="C19" s="118"/>
      <c r="D19" s="118">
        <v>232174</v>
      </c>
      <c r="E19" s="268">
        <v>232174</v>
      </c>
    </row>
    <row r="20" spans="1:5" s="152" customFormat="1" ht="12" customHeight="1" thickBot="1">
      <c r="A20" s="74" t="s">
        <v>7</v>
      </c>
      <c r="B20" s="83" t="s">
        <v>309</v>
      </c>
      <c r="C20" s="119">
        <f>SUM(C21:C23)</f>
        <v>0</v>
      </c>
      <c r="D20" s="119">
        <f>SUM(D21:D23)</f>
        <v>2203388</v>
      </c>
      <c r="E20" s="147">
        <f>SUM(E21:E23)</f>
        <v>34839847</v>
      </c>
    </row>
    <row r="21" spans="1:5" s="217" customFormat="1" ht="12" customHeight="1">
      <c r="A21" s="210" t="s">
        <v>70</v>
      </c>
      <c r="B21" s="7" t="s">
        <v>168</v>
      </c>
      <c r="C21" s="116"/>
      <c r="D21" s="116"/>
      <c r="E21" s="267"/>
    </row>
    <row r="22" spans="1:5" s="217" customFormat="1" ht="12" customHeight="1">
      <c r="A22" s="210" t="s">
        <v>71</v>
      </c>
      <c r="B22" s="6" t="s">
        <v>310</v>
      </c>
      <c r="C22" s="116"/>
      <c r="D22" s="116"/>
      <c r="E22" s="267"/>
    </row>
    <row r="23" spans="1:5" s="217" customFormat="1" ht="12" customHeight="1">
      <c r="A23" s="210" t="s">
        <v>72</v>
      </c>
      <c r="B23" s="6" t="s">
        <v>311</v>
      </c>
      <c r="C23" s="116"/>
      <c r="D23" s="116">
        <v>2203388</v>
      </c>
      <c r="E23" s="267">
        <v>34839847</v>
      </c>
    </row>
    <row r="24" spans="1:5" s="217" customFormat="1" ht="12" customHeight="1" thickBot="1">
      <c r="A24" s="210" t="s">
        <v>73</v>
      </c>
      <c r="B24" s="6" t="s">
        <v>410</v>
      </c>
      <c r="C24" s="116"/>
      <c r="D24" s="116"/>
      <c r="E24" s="267">
        <v>33483682</v>
      </c>
    </row>
    <row r="25" spans="1:5" s="217" customFormat="1" ht="12" customHeight="1" thickBot="1">
      <c r="A25" s="78" t="s">
        <v>8</v>
      </c>
      <c r="B25" s="56" t="s">
        <v>115</v>
      </c>
      <c r="C25" s="324"/>
      <c r="D25" s="324"/>
      <c r="E25" s="146"/>
    </row>
    <row r="26" spans="1:5" s="217" customFormat="1" ht="12" customHeight="1" thickBot="1">
      <c r="A26" s="78" t="s">
        <v>9</v>
      </c>
      <c r="B26" s="56" t="s">
        <v>411</v>
      </c>
      <c r="C26" s="119">
        <f>+C27+C28+C29</f>
        <v>0</v>
      </c>
      <c r="D26" s="119">
        <f>+D27+D28+D29</f>
        <v>0</v>
      </c>
      <c r="E26" s="147">
        <f>+E27+E28+E29</f>
        <v>0</v>
      </c>
    </row>
    <row r="27" spans="1:5" s="217" customFormat="1" ht="12" customHeight="1">
      <c r="A27" s="211" t="s">
        <v>177</v>
      </c>
      <c r="B27" s="212" t="s">
        <v>173</v>
      </c>
      <c r="C27" s="274"/>
      <c r="D27" s="274"/>
      <c r="E27" s="272"/>
    </row>
    <row r="28" spans="1:5" s="217" customFormat="1" ht="12" customHeight="1">
      <c r="A28" s="211" t="s">
        <v>178</v>
      </c>
      <c r="B28" s="212" t="s">
        <v>310</v>
      </c>
      <c r="C28" s="116"/>
      <c r="D28" s="116"/>
      <c r="E28" s="267"/>
    </row>
    <row r="29" spans="1:5" s="217" customFormat="1" ht="12" customHeight="1">
      <c r="A29" s="211" t="s">
        <v>179</v>
      </c>
      <c r="B29" s="213" t="s">
        <v>313</v>
      </c>
      <c r="C29" s="116"/>
      <c r="D29" s="116"/>
      <c r="E29" s="267"/>
    </row>
    <row r="30" spans="1:5" s="217" customFormat="1" ht="12" customHeight="1" thickBot="1">
      <c r="A30" s="210" t="s">
        <v>180</v>
      </c>
      <c r="B30" s="61" t="s">
        <v>412</v>
      </c>
      <c r="C30" s="47"/>
      <c r="D30" s="47"/>
      <c r="E30" s="323"/>
    </row>
    <row r="31" spans="1:5" s="217" customFormat="1" ht="12" customHeight="1" thickBot="1">
      <c r="A31" s="78" t="s">
        <v>10</v>
      </c>
      <c r="B31" s="56" t="s">
        <v>314</v>
      </c>
      <c r="C31" s="119">
        <f>+C32+C33+C34</f>
        <v>0</v>
      </c>
      <c r="D31" s="119">
        <f>+D32+D33+D34</f>
        <v>0</v>
      </c>
      <c r="E31" s="147">
        <f>+E32+E33+E34</f>
        <v>0</v>
      </c>
    </row>
    <row r="32" spans="1:5" s="217" customFormat="1" ht="12" customHeight="1">
      <c r="A32" s="211" t="s">
        <v>57</v>
      </c>
      <c r="B32" s="212" t="s">
        <v>200</v>
      </c>
      <c r="C32" s="274"/>
      <c r="D32" s="274"/>
      <c r="E32" s="272"/>
    </row>
    <row r="33" spans="1:5" s="217" customFormat="1" ht="12" customHeight="1">
      <c r="A33" s="211" t="s">
        <v>58</v>
      </c>
      <c r="B33" s="213" t="s">
        <v>201</v>
      </c>
      <c r="C33" s="120"/>
      <c r="D33" s="120"/>
      <c r="E33" s="269"/>
    </row>
    <row r="34" spans="1:5" s="217" customFormat="1" ht="12" customHeight="1" thickBot="1">
      <c r="A34" s="210" t="s">
        <v>59</v>
      </c>
      <c r="B34" s="61" t="s">
        <v>202</v>
      </c>
      <c r="C34" s="47"/>
      <c r="D34" s="47"/>
      <c r="E34" s="323"/>
    </row>
    <row r="35" spans="1:5" s="152" customFormat="1" ht="12" customHeight="1" thickBot="1">
      <c r="A35" s="78" t="s">
        <v>11</v>
      </c>
      <c r="B35" s="56" t="s">
        <v>285</v>
      </c>
      <c r="C35" s="324"/>
      <c r="D35" s="324"/>
      <c r="E35" s="146"/>
    </row>
    <row r="36" spans="1:5" s="152" customFormat="1" ht="12" customHeight="1" thickBot="1">
      <c r="A36" s="78" t="s">
        <v>12</v>
      </c>
      <c r="B36" s="56" t="s">
        <v>315</v>
      </c>
      <c r="C36" s="324"/>
      <c r="D36" s="324"/>
      <c r="E36" s="146"/>
    </row>
    <row r="37" spans="1:5" s="152" customFormat="1" ht="12" customHeight="1" thickBot="1">
      <c r="A37" s="74" t="s">
        <v>13</v>
      </c>
      <c r="B37" s="56" t="s">
        <v>316</v>
      </c>
      <c r="C37" s="119">
        <f>+C8+C20+C25+C26+C31+C35+C36</f>
        <v>180000</v>
      </c>
      <c r="D37" s="119">
        <f>+D8+D20+D25+D26+D31+D35+D36</f>
        <v>2710918</v>
      </c>
      <c r="E37" s="147">
        <f>+E8+E20+E25+E26+E31+E35+E36</f>
        <v>35347867</v>
      </c>
    </row>
    <row r="38" spans="1:5" s="152" customFormat="1" ht="12" customHeight="1" thickBot="1">
      <c r="A38" s="84" t="s">
        <v>14</v>
      </c>
      <c r="B38" s="56" t="s">
        <v>317</v>
      </c>
      <c r="C38" s="119">
        <f>+C39+C40+C41</f>
        <v>60076119</v>
      </c>
      <c r="D38" s="119">
        <f>+D39+D40+D41</f>
        <v>78029506</v>
      </c>
      <c r="E38" s="147">
        <f>+E39+E40+E41</f>
        <v>78073086</v>
      </c>
    </row>
    <row r="39" spans="1:5" s="152" customFormat="1" ht="12" customHeight="1">
      <c r="A39" s="211" t="s">
        <v>318</v>
      </c>
      <c r="B39" s="212" t="s">
        <v>150</v>
      </c>
      <c r="C39" s="274"/>
      <c r="D39" s="274">
        <v>9216009</v>
      </c>
      <c r="E39" s="272">
        <v>9259589</v>
      </c>
    </row>
    <row r="40" spans="1:5" s="152" customFormat="1" ht="12" customHeight="1">
      <c r="A40" s="211" t="s">
        <v>319</v>
      </c>
      <c r="B40" s="213" t="s">
        <v>0</v>
      </c>
      <c r="C40" s="120"/>
      <c r="D40" s="120"/>
      <c r="E40" s="269"/>
    </row>
    <row r="41" spans="1:5" s="217" customFormat="1" ht="12" customHeight="1" thickBot="1">
      <c r="A41" s="210" t="s">
        <v>320</v>
      </c>
      <c r="B41" s="61" t="s">
        <v>321</v>
      </c>
      <c r="C41" s="47">
        <v>60076119</v>
      </c>
      <c r="D41" s="47">
        <v>68813497</v>
      </c>
      <c r="E41" s="323">
        <v>68813497</v>
      </c>
    </row>
    <row r="42" spans="1:5" s="217" customFormat="1" ht="15" customHeight="1" thickBot="1">
      <c r="A42" s="84" t="s">
        <v>15</v>
      </c>
      <c r="B42" s="85" t="s">
        <v>322</v>
      </c>
      <c r="C42" s="325">
        <f>+C37+C38</f>
        <v>60256119</v>
      </c>
      <c r="D42" s="325">
        <f>+D37+D38</f>
        <v>80740424</v>
      </c>
      <c r="E42" s="150">
        <f>+E37+E38</f>
        <v>113420953</v>
      </c>
    </row>
    <row r="43" spans="1:3" s="217" customFormat="1" ht="15" customHeight="1">
      <c r="A43" s="86"/>
      <c r="B43" s="87"/>
      <c r="C43" s="148"/>
    </row>
    <row r="44" spans="1:3" ht="13.5" thickBot="1">
      <c r="A44" s="88"/>
      <c r="B44" s="89"/>
      <c r="C44" s="149"/>
    </row>
    <row r="45" spans="1:5" s="216" customFormat="1" ht="16.5" customHeight="1" thickBot="1">
      <c r="A45" s="849" t="s">
        <v>41</v>
      </c>
      <c r="B45" s="850"/>
      <c r="C45" s="850"/>
      <c r="D45" s="850"/>
      <c r="E45" s="851"/>
    </row>
    <row r="46" spans="1:5" s="218" customFormat="1" ht="12" customHeight="1" thickBot="1">
      <c r="A46" s="78" t="s">
        <v>6</v>
      </c>
      <c r="B46" s="56" t="s">
        <v>323</v>
      </c>
      <c r="C46" s="119">
        <f>SUM(C47:C51)</f>
        <v>60256119</v>
      </c>
      <c r="D46" s="119">
        <f>SUM(D47:D51)</f>
        <v>77929030</v>
      </c>
      <c r="E46" s="147">
        <f>SUM(E47:E51)</f>
        <v>73215454</v>
      </c>
    </row>
    <row r="47" spans="1:5" ht="12" customHeight="1">
      <c r="A47" s="210" t="s">
        <v>64</v>
      </c>
      <c r="B47" s="7" t="s">
        <v>35</v>
      </c>
      <c r="C47" s="274">
        <v>43173266</v>
      </c>
      <c r="D47" s="274">
        <v>56902153</v>
      </c>
      <c r="E47" s="272">
        <v>53975967</v>
      </c>
    </row>
    <row r="48" spans="1:5" ht="12" customHeight="1">
      <c r="A48" s="210" t="s">
        <v>65</v>
      </c>
      <c r="B48" s="6" t="s">
        <v>124</v>
      </c>
      <c r="C48" s="46">
        <v>8703931</v>
      </c>
      <c r="D48" s="46">
        <v>11073774</v>
      </c>
      <c r="E48" s="270">
        <v>11073774</v>
      </c>
    </row>
    <row r="49" spans="1:5" ht="12" customHeight="1">
      <c r="A49" s="210" t="s">
        <v>66</v>
      </c>
      <c r="B49" s="6" t="s">
        <v>92</v>
      </c>
      <c r="C49" s="46">
        <v>8378922</v>
      </c>
      <c r="D49" s="46">
        <v>9953103</v>
      </c>
      <c r="E49" s="270">
        <v>8165713</v>
      </c>
    </row>
    <row r="50" spans="1:5" ht="12" customHeight="1">
      <c r="A50" s="210" t="s">
        <v>67</v>
      </c>
      <c r="B50" s="6" t="s">
        <v>125</v>
      </c>
      <c r="C50" s="46"/>
      <c r="D50" s="46"/>
      <c r="E50" s="270"/>
    </row>
    <row r="51" spans="1:5" ht="12" customHeight="1" thickBot="1">
      <c r="A51" s="210" t="s">
        <v>99</v>
      </c>
      <c r="B51" s="6" t="s">
        <v>126</v>
      </c>
      <c r="C51" s="46"/>
      <c r="D51" s="46"/>
      <c r="E51" s="270"/>
    </row>
    <row r="52" spans="1:5" ht="12" customHeight="1" thickBot="1">
      <c r="A52" s="78" t="s">
        <v>7</v>
      </c>
      <c r="B52" s="56" t="s">
        <v>324</v>
      </c>
      <c r="C52" s="119">
        <f>SUM(C53:C55)</f>
        <v>0</v>
      </c>
      <c r="D52" s="119">
        <f>SUM(D53:D55)</f>
        <v>2811394</v>
      </c>
      <c r="E52" s="147">
        <f>SUM(E53:E55)</f>
        <v>2811394</v>
      </c>
    </row>
    <row r="53" spans="1:5" s="218" customFormat="1" ht="12" customHeight="1">
      <c r="A53" s="210" t="s">
        <v>70</v>
      </c>
      <c r="B53" s="7" t="s">
        <v>145</v>
      </c>
      <c r="C53" s="274"/>
      <c r="D53" s="274">
        <v>2811394</v>
      </c>
      <c r="E53" s="272">
        <v>2811394</v>
      </c>
    </row>
    <row r="54" spans="1:5" ht="12" customHeight="1">
      <c r="A54" s="210" t="s">
        <v>71</v>
      </c>
      <c r="B54" s="6" t="s">
        <v>128</v>
      </c>
      <c r="C54" s="46"/>
      <c r="D54" s="46"/>
      <c r="E54" s="270"/>
    </row>
    <row r="55" spans="1:5" ht="12" customHeight="1">
      <c r="A55" s="210" t="s">
        <v>72</v>
      </c>
      <c r="B55" s="6" t="s">
        <v>42</v>
      </c>
      <c r="C55" s="46"/>
      <c r="D55" s="46"/>
      <c r="E55" s="270"/>
    </row>
    <row r="56" spans="1:5" ht="12" customHeight="1" thickBot="1">
      <c r="A56" s="210" t="s">
        <v>73</v>
      </c>
      <c r="B56" s="6" t="s">
        <v>413</v>
      </c>
      <c r="C56" s="46"/>
      <c r="D56" s="46"/>
      <c r="E56" s="270"/>
    </row>
    <row r="57" spans="1:5" ht="12" customHeight="1" thickBot="1">
      <c r="A57" s="78" t="s">
        <v>8</v>
      </c>
      <c r="B57" s="56" t="s">
        <v>2</v>
      </c>
      <c r="C57" s="324"/>
      <c r="D57" s="324"/>
      <c r="E57" s="146"/>
    </row>
    <row r="58" spans="1:5" ht="15" customHeight="1" thickBot="1">
      <c r="A58" s="78" t="s">
        <v>9</v>
      </c>
      <c r="B58" s="90" t="s">
        <v>417</v>
      </c>
      <c r="C58" s="325">
        <f>+C46+C52+C57</f>
        <v>60256119</v>
      </c>
      <c r="D58" s="325">
        <f>+D46+D52+D57</f>
        <v>80740424</v>
      </c>
      <c r="E58" s="150">
        <f>+E46+E52+E57</f>
        <v>76026848</v>
      </c>
    </row>
    <row r="59" spans="3:5" ht="13.5" thickBot="1">
      <c r="C59" s="724">
        <f>C42-C58</f>
        <v>0</v>
      </c>
      <c r="D59" s="724">
        <f>D42-D58</f>
        <v>0</v>
      </c>
      <c r="E59" s="151"/>
    </row>
    <row r="60" spans="1:5" ht="15" customHeight="1" thickBot="1">
      <c r="A60" s="330" t="s">
        <v>497</v>
      </c>
      <c r="B60" s="331"/>
      <c r="C60" s="319">
        <v>13</v>
      </c>
      <c r="D60" s="319">
        <v>13</v>
      </c>
      <c r="E60" s="318">
        <v>15</v>
      </c>
    </row>
    <row r="61" spans="1:5" ht="14.25" customHeight="1" thickBot="1">
      <c r="A61" s="332" t="s">
        <v>498</v>
      </c>
      <c r="B61" s="333"/>
      <c r="C61" s="319"/>
      <c r="D61" s="319"/>
      <c r="E61" s="318"/>
    </row>
  </sheetData>
  <sheetProtection sheet="1"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20" zoomScaleNormal="120" workbookViewId="0" topLeftCell="A1">
      <selection activeCell="I62" sqref="I62"/>
    </sheetView>
  </sheetViews>
  <sheetFormatPr defaultColWidth="9.00390625" defaultRowHeight="12.75"/>
  <cols>
    <col min="1" max="1" width="13.875" style="91" customWidth="1"/>
    <col min="2" max="2" width="54.50390625" style="92" customWidth="1"/>
    <col min="3" max="5" width="15.875" style="92" customWidth="1"/>
    <col min="6" max="16384" width="9.375" style="92" customWidth="1"/>
  </cols>
  <sheetData>
    <row r="1" spans="1:5" s="82" customFormat="1" ht="16.5" thickBot="1">
      <c r="A1" s="387"/>
      <c r="B1" s="853" t="str">
        <f>CONCATENATE("6.3. melléklet ",Z_ALAPADATOK!A7," ",Z_ALAPADATOK!B7," ",Z_ALAPADATOK!C7," ",Z_ALAPADATOK!D7," ",Z_ALAPADATOK!E7," ",Z_ALAPADATOK!F7," ",Z_ALAPADATOK!G7," ",Z_ALAPADATOK!H7)</f>
        <v>6.3. melléklet a 2 / 2019. ( IV.26. ) önkormányzati rendelethez</v>
      </c>
      <c r="C1" s="854"/>
      <c r="D1" s="854"/>
      <c r="E1" s="854"/>
    </row>
    <row r="2" spans="1:5" s="214" customFormat="1" ht="25.5" customHeight="1" thickBot="1">
      <c r="A2" s="388" t="s">
        <v>464</v>
      </c>
      <c r="B2" s="855" t="str">
        <f>CONCATENATE(Z_ALAPADATOK!B13)</f>
        <v>Ficánka Óvoda, Mini Bölcsőde és Konyha</v>
      </c>
      <c r="C2" s="856"/>
      <c r="D2" s="857"/>
      <c r="E2" s="389" t="s">
        <v>44</v>
      </c>
    </row>
    <row r="3" spans="1:5" s="214" customFormat="1" ht="24.75" thickBot="1">
      <c r="A3" s="388" t="s">
        <v>137</v>
      </c>
      <c r="B3" s="855" t="s">
        <v>305</v>
      </c>
      <c r="C3" s="856"/>
      <c r="D3" s="857"/>
      <c r="E3" s="389" t="s">
        <v>39</v>
      </c>
    </row>
    <row r="4" spans="1:5" s="215" customFormat="1" ht="15.75" customHeight="1" thickBot="1">
      <c r="A4" s="390"/>
      <c r="B4" s="390"/>
      <c r="C4" s="391"/>
      <c r="D4" s="392"/>
      <c r="E4" s="391" t="str">
        <f>'Z_6.2.3.sz.mell'!E4</f>
        <v> Forintban!</v>
      </c>
    </row>
    <row r="5" spans="1:5" ht="24.75" thickBot="1">
      <c r="A5" s="393" t="s">
        <v>138</v>
      </c>
      <c r="B5" s="394" t="s">
        <v>496</v>
      </c>
      <c r="C5" s="394" t="s">
        <v>460</v>
      </c>
      <c r="D5" s="395" t="s">
        <v>461</v>
      </c>
      <c r="E5" s="376" t="str">
        <f>CONCATENATE('Z_6.2.3.sz.mell'!E5)</f>
        <v>Teljesítés
2018. XII. 31.</v>
      </c>
    </row>
    <row r="6" spans="1:5" s="216" customFormat="1" ht="12.75" customHeight="1" thickBot="1">
      <c r="A6" s="426" t="s">
        <v>388</v>
      </c>
      <c r="B6" s="427" t="s">
        <v>389</v>
      </c>
      <c r="C6" s="427" t="s">
        <v>390</v>
      </c>
      <c r="D6" s="428" t="s">
        <v>392</v>
      </c>
      <c r="E6" s="429" t="s">
        <v>391</v>
      </c>
    </row>
    <row r="7" spans="1:5" s="216" customFormat="1" ht="15.75" customHeight="1" thickBot="1">
      <c r="A7" s="849" t="s">
        <v>40</v>
      </c>
      <c r="B7" s="850"/>
      <c r="C7" s="850"/>
      <c r="D7" s="850"/>
      <c r="E7" s="851"/>
    </row>
    <row r="8" spans="1:5" s="152" customFormat="1" ht="12" customHeight="1" thickBot="1">
      <c r="A8" s="74" t="s">
        <v>6</v>
      </c>
      <c r="B8" s="83" t="s">
        <v>409</v>
      </c>
      <c r="C8" s="119">
        <f>SUM(C9:C19)</f>
        <v>32245695</v>
      </c>
      <c r="D8" s="119">
        <f>SUM(D9:D19)</f>
        <v>37939645</v>
      </c>
      <c r="E8" s="121">
        <f>SUM(E9:E19)</f>
        <v>36924409</v>
      </c>
    </row>
    <row r="9" spans="1:5" s="152" customFormat="1" ht="12" customHeight="1">
      <c r="A9" s="209" t="s">
        <v>64</v>
      </c>
      <c r="B9" s="8" t="s">
        <v>186</v>
      </c>
      <c r="C9" s="275"/>
      <c r="D9" s="275"/>
      <c r="E9" s="322"/>
    </row>
    <row r="10" spans="1:5" s="152" customFormat="1" ht="12" customHeight="1">
      <c r="A10" s="210" t="s">
        <v>65</v>
      </c>
      <c r="B10" s="6" t="s">
        <v>187</v>
      </c>
      <c r="C10" s="116"/>
      <c r="D10" s="262">
        <v>5685192</v>
      </c>
      <c r="E10" s="267">
        <v>7005024</v>
      </c>
    </row>
    <row r="11" spans="1:5" s="152" customFormat="1" ht="12" customHeight="1">
      <c r="A11" s="210" t="s">
        <v>66</v>
      </c>
      <c r="B11" s="6" t="s">
        <v>188</v>
      </c>
      <c r="C11" s="116"/>
      <c r="D11" s="262"/>
      <c r="E11" s="267"/>
    </row>
    <row r="12" spans="1:5" s="152" customFormat="1" ht="12" customHeight="1">
      <c r="A12" s="210" t="s">
        <v>67</v>
      </c>
      <c r="B12" s="6" t="s">
        <v>189</v>
      </c>
      <c r="C12" s="116"/>
      <c r="D12" s="262"/>
      <c r="E12" s="267"/>
    </row>
    <row r="13" spans="1:5" s="152" customFormat="1" ht="12" customHeight="1">
      <c r="A13" s="210" t="s">
        <v>99</v>
      </c>
      <c r="B13" s="6" t="s">
        <v>190</v>
      </c>
      <c r="C13" s="116">
        <v>25390290</v>
      </c>
      <c r="D13" s="262">
        <v>25390290</v>
      </c>
      <c r="E13" s="267">
        <v>14800264</v>
      </c>
    </row>
    <row r="14" spans="1:5" s="152" customFormat="1" ht="12" customHeight="1">
      <c r="A14" s="210" t="s">
        <v>68</v>
      </c>
      <c r="B14" s="6" t="s">
        <v>307</v>
      </c>
      <c r="C14" s="116">
        <v>6855405</v>
      </c>
      <c r="D14" s="262">
        <v>6855405</v>
      </c>
      <c r="E14" s="267">
        <v>7649974</v>
      </c>
    </row>
    <row r="15" spans="1:5" s="152" customFormat="1" ht="12" customHeight="1">
      <c r="A15" s="210" t="s">
        <v>69</v>
      </c>
      <c r="B15" s="5" t="s">
        <v>308</v>
      </c>
      <c r="C15" s="116"/>
      <c r="D15" s="262"/>
      <c r="E15" s="267"/>
    </row>
    <row r="16" spans="1:5" s="152" customFormat="1" ht="12" customHeight="1">
      <c r="A16" s="210" t="s">
        <v>77</v>
      </c>
      <c r="B16" s="6" t="s">
        <v>193</v>
      </c>
      <c r="C16" s="273"/>
      <c r="D16" s="327"/>
      <c r="E16" s="271">
        <v>137</v>
      </c>
    </row>
    <row r="17" spans="1:5" s="217" customFormat="1" ht="12" customHeight="1">
      <c r="A17" s="210" t="s">
        <v>78</v>
      </c>
      <c r="B17" s="6" t="s">
        <v>194</v>
      </c>
      <c r="C17" s="116"/>
      <c r="D17" s="262"/>
      <c r="E17" s="267"/>
    </row>
    <row r="18" spans="1:5" s="217" customFormat="1" ht="12" customHeight="1">
      <c r="A18" s="210" t="s">
        <v>79</v>
      </c>
      <c r="B18" s="6" t="s">
        <v>340</v>
      </c>
      <c r="C18" s="118"/>
      <c r="D18" s="263"/>
      <c r="E18" s="268"/>
    </row>
    <row r="19" spans="1:5" s="217" customFormat="1" ht="12" customHeight="1" thickBot="1">
      <c r="A19" s="210" t="s">
        <v>80</v>
      </c>
      <c r="B19" s="5" t="s">
        <v>195</v>
      </c>
      <c r="C19" s="118"/>
      <c r="D19" s="263">
        <v>8758</v>
      </c>
      <c r="E19" s="268">
        <v>7469010</v>
      </c>
    </row>
    <row r="20" spans="1:5" s="152" customFormat="1" ht="12" customHeight="1" thickBot="1">
      <c r="A20" s="74" t="s">
        <v>7</v>
      </c>
      <c r="B20" s="83" t="s">
        <v>309</v>
      </c>
      <c r="C20" s="119">
        <f>SUM(C21:C23)</f>
        <v>0</v>
      </c>
      <c r="D20" s="264">
        <f>SUM(D21:D23)</f>
        <v>0</v>
      </c>
      <c r="E20" s="147">
        <f>SUM(E21:E23)</f>
        <v>0</v>
      </c>
    </row>
    <row r="21" spans="1:5" s="217" customFormat="1" ht="12" customHeight="1">
      <c r="A21" s="210" t="s">
        <v>70</v>
      </c>
      <c r="B21" s="7" t="s">
        <v>168</v>
      </c>
      <c r="C21" s="116"/>
      <c r="D21" s="262"/>
      <c r="E21" s="267"/>
    </row>
    <row r="22" spans="1:5" s="217" customFormat="1" ht="12" customHeight="1">
      <c r="A22" s="210" t="s">
        <v>71</v>
      </c>
      <c r="B22" s="6" t="s">
        <v>310</v>
      </c>
      <c r="C22" s="116"/>
      <c r="D22" s="262"/>
      <c r="E22" s="267"/>
    </row>
    <row r="23" spans="1:5" s="217" customFormat="1" ht="12" customHeight="1">
      <c r="A23" s="210" t="s">
        <v>72</v>
      </c>
      <c r="B23" s="6" t="s">
        <v>311</v>
      </c>
      <c r="C23" s="116"/>
      <c r="D23" s="262"/>
      <c r="E23" s="267"/>
    </row>
    <row r="24" spans="1:5" s="217" customFormat="1" ht="12" customHeight="1" thickBot="1">
      <c r="A24" s="210" t="s">
        <v>73</v>
      </c>
      <c r="B24" s="6" t="s">
        <v>414</v>
      </c>
      <c r="C24" s="116"/>
      <c r="D24" s="262"/>
      <c r="E24" s="267"/>
    </row>
    <row r="25" spans="1:5" s="217" customFormat="1" ht="12" customHeight="1" thickBot="1">
      <c r="A25" s="78" t="s">
        <v>8</v>
      </c>
      <c r="B25" s="56" t="s">
        <v>115</v>
      </c>
      <c r="C25" s="324"/>
      <c r="D25" s="326"/>
      <c r="E25" s="146"/>
    </row>
    <row r="26" spans="1:5" s="217" customFormat="1" ht="12" customHeight="1" thickBot="1">
      <c r="A26" s="78" t="s">
        <v>9</v>
      </c>
      <c r="B26" s="56" t="s">
        <v>312</v>
      </c>
      <c r="C26" s="119">
        <f>+C27+C28</f>
        <v>0</v>
      </c>
      <c r="D26" s="264">
        <f>+D27+D28</f>
        <v>0</v>
      </c>
      <c r="E26" s="147">
        <f>+E27+E28</f>
        <v>0</v>
      </c>
    </row>
    <row r="27" spans="1:5" s="217" customFormat="1" ht="12" customHeight="1">
      <c r="A27" s="211" t="s">
        <v>177</v>
      </c>
      <c r="B27" s="212" t="s">
        <v>310</v>
      </c>
      <c r="C27" s="274"/>
      <c r="D27" s="58"/>
      <c r="E27" s="272"/>
    </row>
    <row r="28" spans="1:5" s="217" customFormat="1" ht="12" customHeight="1">
      <c r="A28" s="211" t="s">
        <v>178</v>
      </c>
      <c r="B28" s="213" t="s">
        <v>313</v>
      </c>
      <c r="C28" s="120"/>
      <c r="D28" s="265"/>
      <c r="E28" s="269"/>
    </row>
    <row r="29" spans="1:5" s="217" customFormat="1" ht="12" customHeight="1" thickBot="1">
      <c r="A29" s="210" t="s">
        <v>179</v>
      </c>
      <c r="B29" s="61" t="s">
        <v>415</v>
      </c>
      <c r="C29" s="47"/>
      <c r="D29" s="328"/>
      <c r="E29" s="323"/>
    </row>
    <row r="30" spans="1:5" s="217" customFormat="1" ht="12" customHeight="1" thickBot="1">
      <c r="A30" s="78" t="s">
        <v>10</v>
      </c>
      <c r="B30" s="56" t="s">
        <v>314</v>
      </c>
      <c r="C30" s="119">
        <f>+C31+C32+C33</f>
        <v>0</v>
      </c>
      <c r="D30" s="264">
        <f>+D31+D32+D33</f>
        <v>0</v>
      </c>
      <c r="E30" s="147">
        <f>+E31+E32+E33</f>
        <v>0</v>
      </c>
    </row>
    <row r="31" spans="1:5" s="217" customFormat="1" ht="12" customHeight="1">
      <c r="A31" s="211" t="s">
        <v>57</v>
      </c>
      <c r="B31" s="212" t="s">
        <v>200</v>
      </c>
      <c r="C31" s="274"/>
      <c r="D31" s="58"/>
      <c r="E31" s="272"/>
    </row>
    <row r="32" spans="1:5" s="217" customFormat="1" ht="12" customHeight="1">
      <c r="A32" s="211" t="s">
        <v>58</v>
      </c>
      <c r="B32" s="213" t="s">
        <v>201</v>
      </c>
      <c r="C32" s="120"/>
      <c r="D32" s="265"/>
      <c r="E32" s="269"/>
    </row>
    <row r="33" spans="1:5" s="217" customFormat="1" ht="12" customHeight="1" thickBot="1">
      <c r="A33" s="210" t="s">
        <v>59</v>
      </c>
      <c r="B33" s="61" t="s">
        <v>202</v>
      </c>
      <c r="C33" s="47"/>
      <c r="D33" s="328"/>
      <c r="E33" s="323"/>
    </row>
    <row r="34" spans="1:5" s="152" customFormat="1" ht="12" customHeight="1" thickBot="1">
      <c r="A34" s="78" t="s">
        <v>11</v>
      </c>
      <c r="B34" s="56" t="s">
        <v>285</v>
      </c>
      <c r="C34" s="324"/>
      <c r="D34" s="326"/>
      <c r="E34" s="146"/>
    </row>
    <row r="35" spans="1:5" s="152" customFormat="1" ht="12" customHeight="1" thickBot="1">
      <c r="A35" s="78" t="s">
        <v>12</v>
      </c>
      <c r="B35" s="56" t="s">
        <v>315</v>
      </c>
      <c r="C35" s="324"/>
      <c r="D35" s="326"/>
      <c r="E35" s="146"/>
    </row>
    <row r="36" spans="1:5" s="152" customFormat="1" ht="12" customHeight="1" thickBot="1">
      <c r="A36" s="74" t="s">
        <v>13</v>
      </c>
      <c r="B36" s="56" t="s">
        <v>416</v>
      </c>
      <c r="C36" s="119">
        <f>+C8+C20+C25+C26+C30+C34+C35</f>
        <v>32245695</v>
      </c>
      <c r="D36" s="264">
        <f>+D8+D20+D25+D26+D30+D34+D35</f>
        <v>37939645</v>
      </c>
      <c r="E36" s="147">
        <f>+E8+E20+E25+E26+E30+E34+E35</f>
        <v>36924409</v>
      </c>
    </row>
    <row r="37" spans="1:5" s="152" customFormat="1" ht="12" customHeight="1" thickBot="1">
      <c r="A37" s="84" t="s">
        <v>14</v>
      </c>
      <c r="B37" s="56" t="s">
        <v>317</v>
      </c>
      <c r="C37" s="119">
        <f>+C38+C39+C40</f>
        <v>97195297</v>
      </c>
      <c r="D37" s="264">
        <f>+D38+D39+D40</f>
        <v>103680926</v>
      </c>
      <c r="E37" s="147">
        <f>+E38+E39+E40</f>
        <v>107232818</v>
      </c>
    </row>
    <row r="38" spans="1:5" s="152" customFormat="1" ht="12" customHeight="1">
      <c r="A38" s="211" t="s">
        <v>318</v>
      </c>
      <c r="B38" s="212" t="s">
        <v>150</v>
      </c>
      <c r="C38" s="274"/>
      <c r="D38" s="58">
        <v>6485629</v>
      </c>
      <c r="E38" s="272">
        <v>12624775</v>
      </c>
    </row>
    <row r="39" spans="1:5" s="152" customFormat="1" ht="12" customHeight="1">
      <c r="A39" s="211" t="s">
        <v>319</v>
      </c>
      <c r="B39" s="213" t="s">
        <v>0</v>
      </c>
      <c r="C39" s="120"/>
      <c r="D39" s="265"/>
      <c r="E39" s="269"/>
    </row>
    <row r="40" spans="1:5" s="217" customFormat="1" ht="12" customHeight="1" thickBot="1">
      <c r="A40" s="210" t="s">
        <v>320</v>
      </c>
      <c r="B40" s="61" t="s">
        <v>321</v>
      </c>
      <c r="C40" s="47">
        <v>97195297</v>
      </c>
      <c r="D40" s="328">
        <v>97195297</v>
      </c>
      <c r="E40" s="323">
        <v>94608043</v>
      </c>
    </row>
    <row r="41" spans="1:5" s="217" customFormat="1" ht="15" customHeight="1" thickBot="1">
      <c r="A41" s="84" t="s">
        <v>15</v>
      </c>
      <c r="B41" s="85" t="s">
        <v>322</v>
      </c>
      <c r="C41" s="325">
        <f>+C36+C37</f>
        <v>129440992</v>
      </c>
      <c r="D41" s="321">
        <f>+D36+D37</f>
        <v>141620571</v>
      </c>
      <c r="E41" s="150">
        <f>+E36+E37</f>
        <v>144157227</v>
      </c>
    </row>
    <row r="42" spans="1:3" s="217" customFormat="1" ht="15" customHeight="1">
      <c r="A42" s="86"/>
      <c r="B42" s="87"/>
      <c r="C42" s="148"/>
    </row>
    <row r="43" spans="1:3" ht="13.5" thickBot="1">
      <c r="A43" s="88"/>
      <c r="B43" s="89"/>
      <c r="C43" s="149"/>
    </row>
    <row r="44" spans="1:5" s="216" customFormat="1" ht="16.5" customHeight="1" thickBot="1">
      <c r="A44" s="849" t="s">
        <v>41</v>
      </c>
      <c r="B44" s="850"/>
      <c r="C44" s="850"/>
      <c r="D44" s="850"/>
      <c r="E44" s="851"/>
    </row>
    <row r="45" spans="1:5" s="218" customFormat="1" ht="12" customHeight="1" thickBot="1">
      <c r="A45" s="78" t="s">
        <v>6</v>
      </c>
      <c r="B45" s="56" t="s">
        <v>323</v>
      </c>
      <c r="C45" s="119">
        <f>SUM(C46:C50)</f>
        <v>128191312</v>
      </c>
      <c r="D45" s="264">
        <f>SUM(D46:D50)</f>
        <v>138613638</v>
      </c>
      <c r="E45" s="147">
        <f>SUM(E46:E50)</f>
        <v>129830440</v>
      </c>
    </row>
    <row r="46" spans="1:5" ht="12" customHeight="1">
      <c r="A46" s="210" t="s">
        <v>64</v>
      </c>
      <c r="B46" s="7" t="s">
        <v>35</v>
      </c>
      <c r="C46" s="274">
        <v>62105250</v>
      </c>
      <c r="D46" s="58">
        <v>64033084</v>
      </c>
      <c r="E46" s="272">
        <v>64033084</v>
      </c>
    </row>
    <row r="47" spans="1:5" ht="12" customHeight="1">
      <c r="A47" s="210" t="s">
        <v>65</v>
      </c>
      <c r="B47" s="6" t="s">
        <v>124</v>
      </c>
      <c r="C47" s="46">
        <v>12110524</v>
      </c>
      <c r="D47" s="59">
        <v>13068319</v>
      </c>
      <c r="E47" s="270">
        <v>13068319</v>
      </c>
    </row>
    <row r="48" spans="1:5" ht="12" customHeight="1">
      <c r="A48" s="210" t="s">
        <v>66</v>
      </c>
      <c r="B48" s="6" t="s">
        <v>92</v>
      </c>
      <c r="C48" s="46">
        <v>53975538</v>
      </c>
      <c r="D48" s="59">
        <v>61512235</v>
      </c>
      <c r="E48" s="270">
        <v>52729037</v>
      </c>
    </row>
    <row r="49" spans="1:5" ht="12" customHeight="1">
      <c r="A49" s="210" t="s">
        <v>67</v>
      </c>
      <c r="B49" s="6" t="s">
        <v>125</v>
      </c>
      <c r="C49" s="46"/>
      <c r="D49" s="59"/>
      <c r="E49" s="270"/>
    </row>
    <row r="50" spans="1:5" ht="12" customHeight="1" thickBot="1">
      <c r="A50" s="210" t="s">
        <v>99</v>
      </c>
      <c r="B50" s="6" t="s">
        <v>126</v>
      </c>
      <c r="C50" s="46"/>
      <c r="D50" s="59"/>
      <c r="E50" s="270"/>
    </row>
    <row r="51" spans="1:5" ht="12" customHeight="1" thickBot="1">
      <c r="A51" s="78" t="s">
        <v>7</v>
      </c>
      <c r="B51" s="56" t="s">
        <v>324</v>
      </c>
      <c r="C51" s="119">
        <f>SUM(C52:C54)</f>
        <v>1249680</v>
      </c>
      <c r="D51" s="264">
        <f>SUM(D52:D54)</f>
        <v>3006933</v>
      </c>
      <c r="E51" s="147">
        <f>SUM(E52:E54)</f>
        <v>2834933</v>
      </c>
    </row>
    <row r="52" spans="1:5" s="218" customFormat="1" ht="12" customHeight="1">
      <c r="A52" s="210" t="s">
        <v>70</v>
      </c>
      <c r="B52" s="7" t="s">
        <v>145</v>
      </c>
      <c r="C52" s="274">
        <v>1249680</v>
      </c>
      <c r="D52" s="58">
        <v>3006933</v>
      </c>
      <c r="E52" s="272">
        <v>2834933</v>
      </c>
    </row>
    <row r="53" spans="1:5" ht="12" customHeight="1">
      <c r="A53" s="210" t="s">
        <v>71</v>
      </c>
      <c r="B53" s="6" t="s">
        <v>128</v>
      </c>
      <c r="C53" s="46"/>
      <c r="D53" s="59"/>
      <c r="E53" s="270"/>
    </row>
    <row r="54" spans="1:5" ht="12" customHeight="1">
      <c r="A54" s="210" t="s">
        <v>72</v>
      </c>
      <c r="B54" s="6" t="s">
        <v>42</v>
      </c>
      <c r="C54" s="46"/>
      <c r="D54" s="59"/>
      <c r="E54" s="270"/>
    </row>
    <row r="55" spans="1:5" ht="12" customHeight="1" thickBot="1">
      <c r="A55" s="210" t="s">
        <v>73</v>
      </c>
      <c r="B55" s="6" t="s">
        <v>413</v>
      </c>
      <c r="C55" s="46"/>
      <c r="D55" s="59"/>
      <c r="E55" s="270"/>
    </row>
    <row r="56" spans="1:5" ht="15" customHeight="1" thickBot="1">
      <c r="A56" s="78" t="s">
        <v>8</v>
      </c>
      <c r="B56" s="56" t="s">
        <v>2</v>
      </c>
      <c r="C56" s="324"/>
      <c r="D56" s="326"/>
      <c r="E56" s="146"/>
    </row>
    <row r="57" spans="1:5" ht="13.5" thickBot="1">
      <c r="A57" s="78" t="s">
        <v>9</v>
      </c>
      <c r="B57" s="90" t="s">
        <v>417</v>
      </c>
      <c r="C57" s="325">
        <f>+C45+C51+C56</f>
        <v>129440992</v>
      </c>
      <c r="D57" s="321">
        <f>+D45+D51+D56</f>
        <v>141620571</v>
      </c>
      <c r="E57" s="150">
        <f>+E45+E51+E56</f>
        <v>132665373</v>
      </c>
    </row>
    <row r="58" spans="3:4" ht="15" customHeight="1" thickBot="1">
      <c r="C58" s="724">
        <f>C41-C57</f>
        <v>0</v>
      </c>
      <c r="D58" s="724">
        <f>D41-D57</f>
        <v>0</v>
      </c>
    </row>
    <row r="59" spans="1:5" ht="14.25" customHeight="1" thickBot="1">
      <c r="A59" s="330" t="s">
        <v>497</v>
      </c>
      <c r="B59" s="331"/>
      <c r="C59" s="319">
        <v>21</v>
      </c>
      <c r="D59" s="319">
        <v>21</v>
      </c>
      <c r="E59" s="318">
        <v>21</v>
      </c>
    </row>
    <row r="60" spans="1:5" ht="13.5" thickBot="1">
      <c r="A60" s="332" t="s">
        <v>498</v>
      </c>
      <c r="B60" s="333"/>
      <c r="C60" s="319"/>
      <c r="D60" s="319"/>
      <c r="E60" s="318"/>
    </row>
  </sheetData>
  <sheetProtection sheet="1"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20" zoomScaleNormal="120" workbookViewId="0" topLeftCell="A1">
      <selection activeCell="E60" sqref="E60"/>
    </sheetView>
  </sheetViews>
  <sheetFormatPr defaultColWidth="9.00390625" defaultRowHeight="12.75"/>
  <cols>
    <col min="1" max="1" width="13.875" style="91" customWidth="1"/>
    <col min="2" max="2" width="54.50390625" style="92" customWidth="1"/>
    <col min="3" max="5" width="15.875" style="92" customWidth="1"/>
    <col min="6" max="16384" width="9.375" style="92" customWidth="1"/>
  </cols>
  <sheetData>
    <row r="1" spans="1:5" s="82" customFormat="1" ht="16.5" thickBot="1">
      <c r="A1" s="387"/>
      <c r="B1" s="858" t="str">
        <f>CONCATENATE("6.3.1. melléklet ",Z_ALAPADATOK!A7," ",Z_ALAPADATOK!B7," ",Z_ALAPADATOK!C7," ",Z_ALAPADATOK!D7," ",Z_ALAPADATOK!E7," ",Z_ALAPADATOK!F7," ",Z_ALAPADATOK!G7," ",Z_ALAPADATOK!H7)</f>
        <v>6.3.1. melléklet a 2 / 2019. ( IV.26. ) önkormányzati rendelethez</v>
      </c>
      <c r="C1" s="859"/>
      <c r="D1" s="859"/>
      <c r="E1" s="859"/>
    </row>
    <row r="2" spans="1:5" s="214" customFormat="1" ht="25.5" customHeight="1" thickBot="1">
      <c r="A2" s="388" t="s">
        <v>464</v>
      </c>
      <c r="B2" s="855" t="str">
        <f>CONCATENATE('Z_6.3.sz.mell'!B2:D2)</f>
        <v>Ficánka Óvoda, Mini Bölcsőde és Konyha</v>
      </c>
      <c r="C2" s="856"/>
      <c r="D2" s="857"/>
      <c r="E2" s="389" t="s">
        <v>44</v>
      </c>
    </row>
    <row r="3" spans="1:5" s="214" customFormat="1" ht="24.75" thickBot="1">
      <c r="A3" s="388" t="s">
        <v>137</v>
      </c>
      <c r="B3" s="855" t="s">
        <v>325</v>
      </c>
      <c r="C3" s="856"/>
      <c r="D3" s="857"/>
      <c r="E3" s="389" t="s">
        <v>43</v>
      </c>
    </row>
    <row r="4" spans="1:5" s="215" customFormat="1" ht="15.75" customHeight="1" thickBot="1">
      <c r="A4" s="390"/>
      <c r="B4" s="390"/>
      <c r="C4" s="391"/>
      <c r="D4" s="392"/>
      <c r="E4" s="391" t="str">
        <f>'Z_6.3.sz.mell'!E4</f>
        <v> Forintban!</v>
      </c>
    </row>
    <row r="5" spans="1:5" ht="24.75" thickBot="1">
      <c r="A5" s="393" t="s">
        <v>138</v>
      </c>
      <c r="B5" s="394" t="s">
        <v>496</v>
      </c>
      <c r="C5" s="394" t="s">
        <v>460</v>
      </c>
      <c r="D5" s="395" t="s">
        <v>461</v>
      </c>
      <c r="E5" s="376" t="str">
        <f>CONCATENATE('Z_6.3.sz.mell'!E5)</f>
        <v>Teljesítés
2018. XII. 31.</v>
      </c>
    </row>
    <row r="6" spans="1:5" s="216" customFormat="1" ht="12.75" customHeight="1" thickBot="1">
      <c r="A6" s="426" t="s">
        <v>388</v>
      </c>
      <c r="B6" s="427" t="s">
        <v>389</v>
      </c>
      <c r="C6" s="427" t="s">
        <v>390</v>
      </c>
      <c r="D6" s="428" t="s">
        <v>392</v>
      </c>
      <c r="E6" s="429" t="s">
        <v>391</v>
      </c>
    </row>
    <row r="7" spans="1:5" s="216" customFormat="1" ht="15.75" customHeight="1" thickBot="1">
      <c r="A7" s="849" t="s">
        <v>40</v>
      </c>
      <c r="B7" s="850"/>
      <c r="C7" s="850"/>
      <c r="D7" s="850"/>
      <c r="E7" s="851"/>
    </row>
    <row r="8" spans="1:5" s="152" customFormat="1" ht="12" customHeight="1" thickBot="1">
      <c r="A8" s="74" t="s">
        <v>6</v>
      </c>
      <c r="B8" s="83" t="s">
        <v>409</v>
      </c>
      <c r="C8" s="119">
        <f>SUM(C9:C19)</f>
        <v>32245695</v>
      </c>
      <c r="D8" s="119">
        <f>SUM(D9:D19)</f>
        <v>37939645</v>
      </c>
      <c r="E8" s="121">
        <f>SUM(E9:E19)</f>
        <v>36924409</v>
      </c>
    </row>
    <row r="9" spans="1:5" s="152" customFormat="1" ht="12" customHeight="1">
      <c r="A9" s="209" t="s">
        <v>64</v>
      </c>
      <c r="B9" s="8" t="s">
        <v>186</v>
      </c>
      <c r="C9" s="275"/>
      <c r="D9" s="275"/>
      <c r="E9" s="322"/>
    </row>
    <row r="10" spans="1:5" s="152" customFormat="1" ht="12" customHeight="1">
      <c r="A10" s="210" t="s">
        <v>65</v>
      </c>
      <c r="B10" s="6" t="s">
        <v>187</v>
      </c>
      <c r="C10" s="116"/>
      <c r="D10" s="262">
        <v>5685192</v>
      </c>
      <c r="E10" s="267">
        <v>7005024</v>
      </c>
    </row>
    <row r="11" spans="1:5" s="152" customFormat="1" ht="12" customHeight="1">
      <c r="A11" s="210" t="s">
        <v>66</v>
      </c>
      <c r="B11" s="6" t="s">
        <v>188</v>
      </c>
      <c r="C11" s="116"/>
      <c r="D11" s="262"/>
      <c r="E11" s="267"/>
    </row>
    <row r="12" spans="1:5" s="152" customFormat="1" ht="12" customHeight="1">
      <c r="A12" s="210" t="s">
        <v>67</v>
      </c>
      <c r="B12" s="6" t="s">
        <v>189</v>
      </c>
      <c r="C12" s="116"/>
      <c r="D12" s="262"/>
      <c r="E12" s="267"/>
    </row>
    <row r="13" spans="1:5" s="152" customFormat="1" ht="12" customHeight="1">
      <c r="A13" s="210" t="s">
        <v>99</v>
      </c>
      <c r="B13" s="6" t="s">
        <v>190</v>
      </c>
      <c r="C13" s="116">
        <v>25390290</v>
      </c>
      <c r="D13" s="262">
        <v>25390290</v>
      </c>
      <c r="E13" s="267">
        <v>14800264</v>
      </c>
    </row>
    <row r="14" spans="1:5" s="152" customFormat="1" ht="12" customHeight="1">
      <c r="A14" s="210" t="s">
        <v>68</v>
      </c>
      <c r="B14" s="6" t="s">
        <v>307</v>
      </c>
      <c r="C14" s="116">
        <v>6855405</v>
      </c>
      <c r="D14" s="262">
        <v>6855405</v>
      </c>
      <c r="E14" s="267">
        <v>7649974</v>
      </c>
    </row>
    <row r="15" spans="1:5" s="152" customFormat="1" ht="12" customHeight="1">
      <c r="A15" s="210" t="s">
        <v>69</v>
      </c>
      <c r="B15" s="5" t="s">
        <v>308</v>
      </c>
      <c r="C15" s="116"/>
      <c r="D15" s="262"/>
      <c r="E15" s="267"/>
    </row>
    <row r="16" spans="1:5" s="152" customFormat="1" ht="12" customHeight="1">
      <c r="A16" s="210" t="s">
        <v>77</v>
      </c>
      <c r="B16" s="6" t="s">
        <v>193</v>
      </c>
      <c r="C16" s="273"/>
      <c r="D16" s="327"/>
      <c r="E16" s="271">
        <v>137</v>
      </c>
    </row>
    <row r="17" spans="1:5" s="217" customFormat="1" ht="12" customHeight="1">
      <c r="A17" s="210" t="s">
        <v>78</v>
      </c>
      <c r="B17" s="6" t="s">
        <v>194</v>
      </c>
      <c r="C17" s="116"/>
      <c r="D17" s="262"/>
      <c r="E17" s="267"/>
    </row>
    <row r="18" spans="1:5" s="217" customFormat="1" ht="12" customHeight="1">
      <c r="A18" s="210" t="s">
        <v>79</v>
      </c>
      <c r="B18" s="6" t="s">
        <v>340</v>
      </c>
      <c r="C18" s="118"/>
      <c r="D18" s="263"/>
      <c r="E18" s="268"/>
    </row>
    <row r="19" spans="1:5" s="217" customFormat="1" ht="12" customHeight="1" thickBot="1">
      <c r="A19" s="210" t="s">
        <v>80</v>
      </c>
      <c r="B19" s="5" t="s">
        <v>195</v>
      </c>
      <c r="C19" s="118"/>
      <c r="D19" s="263">
        <v>8758</v>
      </c>
      <c r="E19" s="268">
        <v>7469010</v>
      </c>
    </row>
    <row r="20" spans="1:5" s="152" customFormat="1" ht="12" customHeight="1" thickBot="1">
      <c r="A20" s="74" t="s">
        <v>7</v>
      </c>
      <c r="B20" s="83" t="s">
        <v>309</v>
      </c>
      <c r="C20" s="119">
        <f>SUM(C21:C23)</f>
        <v>0</v>
      </c>
      <c r="D20" s="264">
        <f>SUM(D21:D23)</f>
        <v>0</v>
      </c>
      <c r="E20" s="147">
        <f>SUM(E21:E23)</f>
        <v>0</v>
      </c>
    </row>
    <row r="21" spans="1:5" s="217" customFormat="1" ht="12" customHeight="1">
      <c r="A21" s="210" t="s">
        <v>70</v>
      </c>
      <c r="B21" s="7" t="s">
        <v>168</v>
      </c>
      <c r="C21" s="116"/>
      <c r="D21" s="262"/>
      <c r="E21" s="267"/>
    </row>
    <row r="22" spans="1:5" s="217" customFormat="1" ht="12" customHeight="1">
      <c r="A22" s="210" t="s">
        <v>71</v>
      </c>
      <c r="B22" s="6" t="s">
        <v>310</v>
      </c>
      <c r="C22" s="116"/>
      <c r="D22" s="262"/>
      <c r="E22" s="267"/>
    </row>
    <row r="23" spans="1:5" s="217" customFormat="1" ht="12" customHeight="1">
      <c r="A23" s="210" t="s">
        <v>72</v>
      </c>
      <c r="B23" s="6" t="s">
        <v>311</v>
      </c>
      <c r="C23" s="116"/>
      <c r="D23" s="262"/>
      <c r="E23" s="267"/>
    </row>
    <row r="24" spans="1:5" s="217" customFormat="1" ht="12" customHeight="1" thickBot="1">
      <c r="A24" s="210" t="s">
        <v>73</v>
      </c>
      <c r="B24" s="6" t="s">
        <v>414</v>
      </c>
      <c r="C24" s="116"/>
      <c r="D24" s="262"/>
      <c r="E24" s="267"/>
    </row>
    <row r="25" spans="1:5" s="217" customFormat="1" ht="12" customHeight="1" thickBot="1">
      <c r="A25" s="78" t="s">
        <v>8</v>
      </c>
      <c r="B25" s="56" t="s">
        <v>115</v>
      </c>
      <c r="C25" s="324"/>
      <c r="D25" s="326"/>
      <c r="E25" s="146"/>
    </row>
    <row r="26" spans="1:5" s="217" customFormat="1" ht="12" customHeight="1" thickBot="1">
      <c r="A26" s="78" t="s">
        <v>9</v>
      </c>
      <c r="B26" s="56" t="s">
        <v>312</v>
      </c>
      <c r="C26" s="119">
        <f>+C27+C28</f>
        <v>0</v>
      </c>
      <c r="D26" s="264">
        <f>+D27+D28</f>
        <v>0</v>
      </c>
      <c r="E26" s="147">
        <f>+E27+E28</f>
        <v>0</v>
      </c>
    </row>
    <row r="27" spans="1:5" s="217" customFormat="1" ht="12" customHeight="1">
      <c r="A27" s="211" t="s">
        <v>177</v>
      </c>
      <c r="B27" s="212" t="s">
        <v>310</v>
      </c>
      <c r="C27" s="274"/>
      <c r="D27" s="58"/>
      <c r="E27" s="272"/>
    </row>
    <row r="28" spans="1:5" s="217" customFormat="1" ht="12" customHeight="1">
      <c r="A28" s="211" t="s">
        <v>178</v>
      </c>
      <c r="B28" s="213" t="s">
        <v>313</v>
      </c>
      <c r="C28" s="120"/>
      <c r="D28" s="265"/>
      <c r="E28" s="269"/>
    </row>
    <row r="29" spans="1:5" s="217" customFormat="1" ht="12" customHeight="1" thickBot="1">
      <c r="A29" s="210" t="s">
        <v>179</v>
      </c>
      <c r="B29" s="61" t="s">
        <v>415</v>
      </c>
      <c r="C29" s="47"/>
      <c r="D29" s="328"/>
      <c r="E29" s="323"/>
    </row>
    <row r="30" spans="1:5" s="217" customFormat="1" ht="12" customHeight="1" thickBot="1">
      <c r="A30" s="78" t="s">
        <v>10</v>
      </c>
      <c r="B30" s="56" t="s">
        <v>314</v>
      </c>
      <c r="C30" s="119">
        <f>+C31+C32+C33</f>
        <v>0</v>
      </c>
      <c r="D30" s="264">
        <f>+D31+D32+D33</f>
        <v>0</v>
      </c>
      <c r="E30" s="147">
        <f>+E31+E32+E33</f>
        <v>0</v>
      </c>
    </row>
    <row r="31" spans="1:5" s="217" customFormat="1" ht="12" customHeight="1">
      <c r="A31" s="211" t="s">
        <v>57</v>
      </c>
      <c r="B31" s="212" t="s">
        <v>200</v>
      </c>
      <c r="C31" s="274"/>
      <c r="D31" s="58"/>
      <c r="E31" s="272"/>
    </row>
    <row r="32" spans="1:5" s="217" customFormat="1" ht="12" customHeight="1">
      <c r="A32" s="211" t="s">
        <v>58</v>
      </c>
      <c r="B32" s="213" t="s">
        <v>201</v>
      </c>
      <c r="C32" s="120"/>
      <c r="D32" s="265"/>
      <c r="E32" s="269"/>
    </row>
    <row r="33" spans="1:5" s="217" customFormat="1" ht="12" customHeight="1" thickBot="1">
      <c r="A33" s="210" t="s">
        <v>59</v>
      </c>
      <c r="B33" s="61" t="s">
        <v>202</v>
      </c>
      <c r="C33" s="47"/>
      <c r="D33" s="328"/>
      <c r="E33" s="323"/>
    </row>
    <row r="34" spans="1:5" s="152" customFormat="1" ht="12" customHeight="1" thickBot="1">
      <c r="A34" s="78" t="s">
        <v>11</v>
      </c>
      <c r="B34" s="56" t="s">
        <v>285</v>
      </c>
      <c r="C34" s="324"/>
      <c r="D34" s="326"/>
      <c r="E34" s="146"/>
    </row>
    <row r="35" spans="1:5" s="152" customFormat="1" ht="12" customHeight="1" thickBot="1">
      <c r="A35" s="78" t="s">
        <v>12</v>
      </c>
      <c r="B35" s="56" t="s">
        <v>315</v>
      </c>
      <c r="C35" s="324"/>
      <c r="D35" s="326"/>
      <c r="E35" s="146"/>
    </row>
    <row r="36" spans="1:5" s="152" customFormat="1" ht="12" customHeight="1" thickBot="1">
      <c r="A36" s="74" t="s">
        <v>13</v>
      </c>
      <c r="B36" s="56" t="s">
        <v>416</v>
      </c>
      <c r="C36" s="119">
        <f>+C8+C20+C25+C26+C30+C34+C35</f>
        <v>32245695</v>
      </c>
      <c r="D36" s="264">
        <f>+D8+D20+D25+D26+D30+D34+D35</f>
        <v>37939645</v>
      </c>
      <c r="E36" s="147">
        <f>+E8+E20+E25+E26+E30+E34+E35</f>
        <v>36924409</v>
      </c>
    </row>
    <row r="37" spans="1:5" s="152" customFormat="1" ht="12" customHeight="1" thickBot="1">
      <c r="A37" s="84" t="s">
        <v>14</v>
      </c>
      <c r="B37" s="56" t="s">
        <v>317</v>
      </c>
      <c r="C37" s="119">
        <f>+C38+C39+C40</f>
        <v>97195297</v>
      </c>
      <c r="D37" s="264">
        <f>+D38+D39+D40</f>
        <v>103680926</v>
      </c>
      <c r="E37" s="147">
        <f>+E38+E39+E40</f>
        <v>107232818</v>
      </c>
    </row>
    <row r="38" spans="1:5" s="152" customFormat="1" ht="12" customHeight="1">
      <c r="A38" s="211" t="s">
        <v>318</v>
      </c>
      <c r="B38" s="212" t="s">
        <v>150</v>
      </c>
      <c r="C38" s="274"/>
      <c r="D38" s="58">
        <v>6485629</v>
      </c>
      <c r="E38" s="272">
        <v>12624775</v>
      </c>
    </row>
    <row r="39" spans="1:5" s="152" customFormat="1" ht="12" customHeight="1">
      <c r="A39" s="211" t="s">
        <v>319</v>
      </c>
      <c r="B39" s="213" t="s">
        <v>0</v>
      </c>
      <c r="C39" s="120"/>
      <c r="D39" s="265"/>
      <c r="E39" s="269"/>
    </row>
    <row r="40" spans="1:5" s="217" customFormat="1" ht="12" customHeight="1" thickBot="1">
      <c r="A40" s="210" t="s">
        <v>320</v>
      </c>
      <c r="B40" s="61" t="s">
        <v>321</v>
      </c>
      <c r="C40" s="47">
        <v>97195297</v>
      </c>
      <c r="D40" s="328">
        <v>97195297</v>
      </c>
      <c r="E40" s="323">
        <v>94608043</v>
      </c>
    </row>
    <row r="41" spans="1:5" s="217" customFormat="1" ht="15" customHeight="1" thickBot="1">
      <c r="A41" s="84" t="s">
        <v>15</v>
      </c>
      <c r="B41" s="85" t="s">
        <v>322</v>
      </c>
      <c r="C41" s="325">
        <f>+C36+C37</f>
        <v>129440992</v>
      </c>
      <c r="D41" s="321">
        <f>+D36+D37</f>
        <v>141620571</v>
      </c>
      <c r="E41" s="150">
        <f>+E36+E37</f>
        <v>144157227</v>
      </c>
    </row>
    <row r="42" spans="1:3" s="217" customFormat="1" ht="15" customHeight="1">
      <c r="A42" s="86"/>
      <c r="B42" s="87"/>
      <c r="C42" s="148"/>
    </row>
    <row r="43" spans="1:3" ht="13.5" thickBot="1">
      <c r="A43" s="88"/>
      <c r="B43" s="89"/>
      <c r="C43" s="149"/>
    </row>
    <row r="44" spans="1:5" s="216" customFormat="1" ht="16.5" customHeight="1" thickBot="1">
      <c r="A44" s="849" t="s">
        <v>41</v>
      </c>
      <c r="B44" s="850"/>
      <c r="C44" s="850"/>
      <c r="D44" s="850"/>
      <c r="E44" s="851"/>
    </row>
    <row r="45" spans="1:5" s="218" customFormat="1" ht="12" customHeight="1" thickBot="1">
      <c r="A45" s="78" t="s">
        <v>6</v>
      </c>
      <c r="B45" s="56" t="s">
        <v>323</v>
      </c>
      <c r="C45" s="119">
        <f>SUM(C46:C50)</f>
        <v>128191312</v>
      </c>
      <c r="D45" s="264">
        <f>SUM(D46:D50)</f>
        <v>138613638</v>
      </c>
      <c r="E45" s="147">
        <f>SUM(E46:E50)</f>
        <v>129830440</v>
      </c>
    </row>
    <row r="46" spans="1:5" ht="12" customHeight="1">
      <c r="A46" s="210" t="s">
        <v>64</v>
      </c>
      <c r="B46" s="7" t="s">
        <v>35</v>
      </c>
      <c r="C46" s="274">
        <v>62105250</v>
      </c>
      <c r="D46" s="58">
        <v>64033084</v>
      </c>
      <c r="E46" s="272">
        <v>64033084</v>
      </c>
    </row>
    <row r="47" spans="1:5" ht="12" customHeight="1">
      <c r="A47" s="210" t="s">
        <v>65</v>
      </c>
      <c r="B47" s="6" t="s">
        <v>124</v>
      </c>
      <c r="C47" s="46">
        <v>12110524</v>
      </c>
      <c r="D47" s="59">
        <v>13068319</v>
      </c>
      <c r="E47" s="270">
        <v>13068319</v>
      </c>
    </row>
    <row r="48" spans="1:5" ht="12" customHeight="1">
      <c r="A48" s="210" t="s">
        <v>66</v>
      </c>
      <c r="B48" s="6" t="s">
        <v>92</v>
      </c>
      <c r="C48" s="46">
        <v>53975538</v>
      </c>
      <c r="D48" s="59">
        <v>61512235</v>
      </c>
      <c r="E48" s="270">
        <v>52729037</v>
      </c>
    </row>
    <row r="49" spans="1:5" ht="12" customHeight="1">
      <c r="A49" s="210" t="s">
        <v>67</v>
      </c>
      <c r="B49" s="6" t="s">
        <v>125</v>
      </c>
      <c r="C49" s="46"/>
      <c r="D49" s="59"/>
      <c r="E49" s="270"/>
    </row>
    <row r="50" spans="1:5" ht="12" customHeight="1" thickBot="1">
      <c r="A50" s="210" t="s">
        <v>99</v>
      </c>
      <c r="B50" s="6" t="s">
        <v>126</v>
      </c>
      <c r="C50" s="46"/>
      <c r="D50" s="59"/>
      <c r="E50" s="270"/>
    </row>
    <row r="51" spans="1:5" ht="12" customHeight="1" thickBot="1">
      <c r="A51" s="78" t="s">
        <v>7</v>
      </c>
      <c r="B51" s="56" t="s">
        <v>324</v>
      </c>
      <c r="C51" s="119">
        <f>SUM(C52:C54)</f>
        <v>1249680</v>
      </c>
      <c r="D51" s="264">
        <f>SUM(D52:D54)</f>
        <v>3006933</v>
      </c>
      <c r="E51" s="147">
        <f>SUM(E52:E54)</f>
        <v>2834933</v>
      </c>
    </row>
    <row r="52" spans="1:5" s="218" customFormat="1" ht="12" customHeight="1">
      <c r="A52" s="210" t="s">
        <v>70</v>
      </c>
      <c r="B52" s="7" t="s">
        <v>145</v>
      </c>
      <c r="C52" s="274">
        <v>1249680</v>
      </c>
      <c r="D52" s="58">
        <v>3006933</v>
      </c>
      <c r="E52" s="272">
        <v>2834933</v>
      </c>
    </row>
    <row r="53" spans="1:5" ht="12" customHeight="1">
      <c r="A53" s="210" t="s">
        <v>71</v>
      </c>
      <c r="B53" s="6" t="s">
        <v>128</v>
      </c>
      <c r="C53" s="46"/>
      <c r="D53" s="59"/>
      <c r="E53" s="270"/>
    </row>
    <row r="54" spans="1:5" ht="12" customHeight="1">
      <c r="A54" s="210" t="s">
        <v>72</v>
      </c>
      <c r="B54" s="6" t="s">
        <v>42</v>
      </c>
      <c r="C54" s="46"/>
      <c r="D54" s="59"/>
      <c r="E54" s="270"/>
    </row>
    <row r="55" spans="1:5" ht="12" customHeight="1" thickBot="1">
      <c r="A55" s="210" t="s">
        <v>73</v>
      </c>
      <c r="B55" s="6" t="s">
        <v>413</v>
      </c>
      <c r="C55" s="46"/>
      <c r="D55" s="59"/>
      <c r="E55" s="270"/>
    </row>
    <row r="56" spans="1:5" ht="15" customHeight="1" thickBot="1">
      <c r="A56" s="78" t="s">
        <v>8</v>
      </c>
      <c r="B56" s="56" t="s">
        <v>2</v>
      </c>
      <c r="C56" s="324"/>
      <c r="D56" s="326"/>
      <c r="E56" s="146"/>
    </row>
    <row r="57" spans="1:5" ht="13.5" thickBot="1">
      <c r="A57" s="78" t="s">
        <v>9</v>
      </c>
      <c r="B57" s="90" t="s">
        <v>417</v>
      </c>
      <c r="C57" s="325">
        <f>+C45+C51+C56</f>
        <v>129440992</v>
      </c>
      <c r="D57" s="321">
        <f>+D45+D51+D56</f>
        <v>141620571</v>
      </c>
      <c r="E57" s="150">
        <f>+E45+E51+E56</f>
        <v>132665373</v>
      </c>
    </row>
    <row r="58" spans="3:4" ht="15" customHeight="1" thickBot="1">
      <c r="C58" s="724">
        <f>C41-C57</f>
        <v>0</v>
      </c>
      <c r="D58" s="724">
        <f>D41-D57</f>
        <v>0</v>
      </c>
    </row>
    <row r="59" spans="1:5" ht="14.25" customHeight="1" thickBot="1">
      <c r="A59" s="330" t="s">
        <v>497</v>
      </c>
      <c r="B59" s="331"/>
      <c r="C59" s="319">
        <v>21</v>
      </c>
      <c r="D59" s="319">
        <v>21</v>
      </c>
      <c r="E59" s="318">
        <v>21</v>
      </c>
    </row>
    <row r="60" spans="1:5" ht="13.5" thickBot="1">
      <c r="A60" s="332" t="s">
        <v>498</v>
      </c>
      <c r="B60" s="333"/>
      <c r="C60" s="319"/>
      <c r="D60" s="319"/>
      <c r="E60" s="318"/>
    </row>
  </sheetData>
  <sheetProtection sheet="1"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20" zoomScaleNormal="120" workbookViewId="0" topLeftCell="A1">
      <selection activeCell="H14" sqref="H14"/>
    </sheetView>
  </sheetViews>
  <sheetFormatPr defaultColWidth="9.00390625" defaultRowHeight="12.75"/>
  <cols>
    <col min="1" max="1" width="13.875" style="91" customWidth="1"/>
    <col min="2" max="2" width="54.50390625" style="92" customWidth="1"/>
    <col min="3" max="5" width="15.875" style="92" customWidth="1"/>
    <col min="6" max="16384" width="9.375" style="92" customWidth="1"/>
  </cols>
  <sheetData>
    <row r="1" spans="1:5" s="82" customFormat="1" ht="16.5" thickBot="1">
      <c r="A1" s="387"/>
      <c r="B1" s="858" t="str">
        <f>CONCATENATE("6.3.2. melléklet ",Z_ALAPADATOK!A7," ",Z_ALAPADATOK!B7," ",Z_ALAPADATOK!C7," ",Z_ALAPADATOK!D7," ",Z_ALAPADATOK!E7," ",Z_ALAPADATOK!F7," ",Z_ALAPADATOK!G7," ",Z_ALAPADATOK!H7)</f>
        <v>6.3.2. melléklet a 2 / 2019. ( IV.26. ) önkormányzati rendelethez</v>
      </c>
      <c r="C1" s="859"/>
      <c r="D1" s="859"/>
      <c r="E1" s="859"/>
    </row>
    <row r="2" spans="1:5" s="214" customFormat="1" ht="25.5" customHeight="1" thickBot="1">
      <c r="A2" s="388" t="s">
        <v>464</v>
      </c>
      <c r="B2" s="855" t="str">
        <f>CONCATENATE('Z_6.3.1.sz.mell'!B2:D2)</f>
        <v>Ficánka Óvoda, Mini Bölcsőde és Konyha</v>
      </c>
      <c r="C2" s="856"/>
      <c r="D2" s="857"/>
      <c r="E2" s="389" t="s">
        <v>44</v>
      </c>
    </row>
    <row r="3" spans="1:5" s="214" customFormat="1" ht="24.75" thickBot="1">
      <c r="A3" s="388" t="s">
        <v>137</v>
      </c>
      <c r="B3" s="855" t="s">
        <v>326</v>
      </c>
      <c r="C3" s="856"/>
      <c r="D3" s="857"/>
      <c r="E3" s="389" t="s">
        <v>44</v>
      </c>
    </row>
    <row r="4" spans="1:5" s="215" customFormat="1" ht="15.75" customHeight="1" thickBot="1">
      <c r="A4" s="390"/>
      <c r="B4" s="390"/>
      <c r="C4" s="391"/>
      <c r="D4" s="392"/>
      <c r="E4" s="391" t="str">
        <f>'Z_6.3.1.sz.mell'!E4</f>
        <v> Forintban!</v>
      </c>
    </row>
    <row r="5" spans="1:5" ht="24.75" thickBot="1">
      <c r="A5" s="393" t="s">
        <v>138</v>
      </c>
      <c r="B5" s="394" t="s">
        <v>496</v>
      </c>
      <c r="C5" s="394" t="s">
        <v>460</v>
      </c>
      <c r="D5" s="395" t="s">
        <v>461</v>
      </c>
      <c r="E5" s="376" t="str">
        <f>+CONCATENATE("Teljesítés",CHAR(10),LEFT(Z_ÖSSZEFÜGGÉSEK!A6,4),". XII. 31.")</f>
        <v>Teljesítés
2018. XII. 31.</v>
      </c>
    </row>
    <row r="6" spans="1:5" s="216" customFormat="1" ht="12.75" customHeight="1" thickBot="1">
      <c r="A6" s="426" t="s">
        <v>388</v>
      </c>
      <c r="B6" s="427" t="s">
        <v>389</v>
      </c>
      <c r="C6" s="427" t="s">
        <v>390</v>
      </c>
      <c r="D6" s="428" t="s">
        <v>392</v>
      </c>
      <c r="E6" s="429" t="s">
        <v>391</v>
      </c>
    </row>
    <row r="7" spans="1:5" s="216" customFormat="1" ht="15.75" customHeight="1" thickBot="1">
      <c r="A7" s="849" t="s">
        <v>40</v>
      </c>
      <c r="B7" s="850"/>
      <c r="C7" s="850"/>
      <c r="D7" s="850"/>
      <c r="E7" s="851"/>
    </row>
    <row r="8" spans="1:5" s="152" customFormat="1" ht="12" customHeight="1" thickBot="1">
      <c r="A8" s="74" t="s">
        <v>6</v>
      </c>
      <c r="B8" s="83" t="s">
        <v>409</v>
      </c>
      <c r="C8" s="119">
        <f>SUM(C9:C19)</f>
        <v>0</v>
      </c>
      <c r="D8" s="119">
        <f>SUM(D9:D19)</f>
        <v>0</v>
      </c>
      <c r="E8" s="121">
        <f>SUM(E9:E19)</f>
        <v>0</v>
      </c>
    </row>
    <row r="9" spans="1:5" s="152" customFormat="1" ht="12" customHeight="1">
      <c r="A9" s="209" t="s">
        <v>64</v>
      </c>
      <c r="B9" s="8" t="s">
        <v>186</v>
      </c>
      <c r="C9" s="275"/>
      <c r="D9" s="275"/>
      <c r="E9" s="322"/>
    </row>
    <row r="10" spans="1:5" s="152" customFormat="1" ht="12" customHeight="1">
      <c r="A10" s="210" t="s">
        <v>65</v>
      </c>
      <c r="B10" s="6" t="s">
        <v>187</v>
      </c>
      <c r="C10" s="116"/>
      <c r="D10" s="262"/>
      <c r="E10" s="267"/>
    </row>
    <row r="11" spans="1:5" s="152" customFormat="1" ht="12" customHeight="1">
      <c r="A11" s="210" t="s">
        <v>66</v>
      </c>
      <c r="B11" s="6" t="s">
        <v>188</v>
      </c>
      <c r="C11" s="116"/>
      <c r="D11" s="262"/>
      <c r="E11" s="267"/>
    </row>
    <row r="12" spans="1:5" s="152" customFormat="1" ht="12" customHeight="1">
      <c r="A12" s="210" t="s">
        <v>67</v>
      </c>
      <c r="B12" s="6" t="s">
        <v>189</v>
      </c>
      <c r="C12" s="116"/>
      <c r="D12" s="262"/>
      <c r="E12" s="267"/>
    </row>
    <row r="13" spans="1:5" s="152" customFormat="1" ht="12" customHeight="1">
      <c r="A13" s="210" t="s">
        <v>99</v>
      </c>
      <c r="B13" s="6" t="s">
        <v>190</v>
      </c>
      <c r="C13" s="116"/>
      <c r="D13" s="262"/>
      <c r="E13" s="267"/>
    </row>
    <row r="14" spans="1:5" s="152" customFormat="1" ht="12" customHeight="1">
      <c r="A14" s="210" t="s">
        <v>68</v>
      </c>
      <c r="B14" s="6" t="s">
        <v>307</v>
      </c>
      <c r="C14" s="116"/>
      <c r="D14" s="262"/>
      <c r="E14" s="267"/>
    </row>
    <row r="15" spans="1:5" s="152" customFormat="1" ht="12" customHeight="1">
      <c r="A15" s="210" t="s">
        <v>69</v>
      </c>
      <c r="B15" s="5" t="s">
        <v>308</v>
      </c>
      <c r="C15" s="116"/>
      <c r="D15" s="262"/>
      <c r="E15" s="267"/>
    </row>
    <row r="16" spans="1:5" s="152" customFormat="1" ht="12" customHeight="1">
      <c r="A16" s="210" t="s">
        <v>77</v>
      </c>
      <c r="B16" s="6" t="s">
        <v>193</v>
      </c>
      <c r="C16" s="273"/>
      <c r="D16" s="327"/>
      <c r="E16" s="271"/>
    </row>
    <row r="17" spans="1:5" s="217" customFormat="1" ht="12" customHeight="1">
      <c r="A17" s="210" t="s">
        <v>78</v>
      </c>
      <c r="B17" s="6" t="s">
        <v>194</v>
      </c>
      <c r="C17" s="116"/>
      <c r="D17" s="262"/>
      <c r="E17" s="267"/>
    </row>
    <row r="18" spans="1:5" s="217" customFormat="1" ht="12" customHeight="1">
      <c r="A18" s="210" t="s">
        <v>79</v>
      </c>
      <c r="B18" s="6" t="s">
        <v>340</v>
      </c>
      <c r="C18" s="118"/>
      <c r="D18" s="263"/>
      <c r="E18" s="268"/>
    </row>
    <row r="19" spans="1:5" s="217" customFormat="1" ht="12" customHeight="1" thickBot="1">
      <c r="A19" s="210" t="s">
        <v>80</v>
      </c>
      <c r="B19" s="5" t="s">
        <v>195</v>
      </c>
      <c r="C19" s="118"/>
      <c r="D19" s="263"/>
      <c r="E19" s="268"/>
    </row>
    <row r="20" spans="1:5" s="152" customFormat="1" ht="12" customHeight="1" thickBot="1">
      <c r="A20" s="74" t="s">
        <v>7</v>
      </c>
      <c r="B20" s="83" t="s">
        <v>309</v>
      </c>
      <c r="C20" s="119">
        <f>SUM(C21:C23)</f>
        <v>0</v>
      </c>
      <c r="D20" s="264">
        <f>SUM(D21:D23)</f>
        <v>0</v>
      </c>
      <c r="E20" s="147">
        <f>SUM(E21:E23)</f>
        <v>0</v>
      </c>
    </row>
    <row r="21" spans="1:5" s="217" customFormat="1" ht="12" customHeight="1">
      <c r="A21" s="210" t="s">
        <v>70</v>
      </c>
      <c r="B21" s="7" t="s">
        <v>168</v>
      </c>
      <c r="C21" s="116"/>
      <c r="D21" s="262"/>
      <c r="E21" s="267"/>
    </row>
    <row r="22" spans="1:5" s="217" customFormat="1" ht="12" customHeight="1">
      <c r="A22" s="210" t="s">
        <v>71</v>
      </c>
      <c r="B22" s="6" t="s">
        <v>310</v>
      </c>
      <c r="C22" s="116"/>
      <c r="D22" s="262"/>
      <c r="E22" s="267"/>
    </row>
    <row r="23" spans="1:5" s="217" customFormat="1" ht="12" customHeight="1">
      <c r="A23" s="210" t="s">
        <v>72</v>
      </c>
      <c r="B23" s="6" t="s">
        <v>311</v>
      </c>
      <c r="C23" s="116"/>
      <c r="D23" s="262"/>
      <c r="E23" s="267"/>
    </row>
    <row r="24" spans="1:5" s="217" customFormat="1" ht="12" customHeight="1" thickBot="1">
      <c r="A24" s="210" t="s">
        <v>73</v>
      </c>
      <c r="B24" s="6" t="s">
        <v>414</v>
      </c>
      <c r="C24" s="116"/>
      <c r="D24" s="262"/>
      <c r="E24" s="267"/>
    </row>
    <row r="25" spans="1:5" s="217" customFormat="1" ht="12" customHeight="1" thickBot="1">
      <c r="A25" s="78" t="s">
        <v>8</v>
      </c>
      <c r="B25" s="56" t="s">
        <v>115</v>
      </c>
      <c r="C25" s="324"/>
      <c r="D25" s="326"/>
      <c r="E25" s="146"/>
    </row>
    <row r="26" spans="1:5" s="217" customFormat="1" ht="12" customHeight="1" thickBot="1">
      <c r="A26" s="78" t="s">
        <v>9</v>
      </c>
      <c r="B26" s="56" t="s">
        <v>312</v>
      </c>
      <c r="C26" s="119">
        <f>+C27+C28</f>
        <v>0</v>
      </c>
      <c r="D26" s="264">
        <f>+D27+D28</f>
        <v>0</v>
      </c>
      <c r="E26" s="147">
        <f>+E27+E28</f>
        <v>0</v>
      </c>
    </row>
    <row r="27" spans="1:5" s="217" customFormat="1" ht="12" customHeight="1">
      <c r="A27" s="211" t="s">
        <v>177</v>
      </c>
      <c r="B27" s="212" t="s">
        <v>310</v>
      </c>
      <c r="C27" s="274"/>
      <c r="D27" s="58"/>
      <c r="E27" s="272"/>
    </row>
    <row r="28" spans="1:5" s="217" customFormat="1" ht="12" customHeight="1">
      <c r="A28" s="211" t="s">
        <v>178</v>
      </c>
      <c r="B28" s="213" t="s">
        <v>313</v>
      </c>
      <c r="C28" s="120"/>
      <c r="D28" s="265"/>
      <c r="E28" s="269"/>
    </row>
    <row r="29" spans="1:5" s="217" customFormat="1" ht="12" customHeight="1" thickBot="1">
      <c r="A29" s="210" t="s">
        <v>179</v>
      </c>
      <c r="B29" s="61" t="s">
        <v>415</v>
      </c>
      <c r="C29" s="47"/>
      <c r="D29" s="328"/>
      <c r="E29" s="323"/>
    </row>
    <row r="30" spans="1:5" s="217" customFormat="1" ht="12" customHeight="1" thickBot="1">
      <c r="A30" s="78" t="s">
        <v>10</v>
      </c>
      <c r="B30" s="56" t="s">
        <v>314</v>
      </c>
      <c r="C30" s="119">
        <f>+C31+C32+C33</f>
        <v>0</v>
      </c>
      <c r="D30" s="264">
        <f>+D31+D32+D33</f>
        <v>0</v>
      </c>
      <c r="E30" s="147">
        <f>+E31+E32+E33</f>
        <v>0</v>
      </c>
    </row>
    <row r="31" spans="1:5" s="217" customFormat="1" ht="12" customHeight="1">
      <c r="A31" s="211" t="s">
        <v>57</v>
      </c>
      <c r="B31" s="212" t="s">
        <v>200</v>
      </c>
      <c r="C31" s="274"/>
      <c r="D31" s="58"/>
      <c r="E31" s="272"/>
    </row>
    <row r="32" spans="1:5" s="217" customFormat="1" ht="12" customHeight="1">
      <c r="A32" s="211" t="s">
        <v>58</v>
      </c>
      <c r="B32" s="213" t="s">
        <v>201</v>
      </c>
      <c r="C32" s="120"/>
      <c r="D32" s="265"/>
      <c r="E32" s="269"/>
    </row>
    <row r="33" spans="1:5" s="217" customFormat="1" ht="12" customHeight="1" thickBot="1">
      <c r="A33" s="210" t="s">
        <v>59</v>
      </c>
      <c r="B33" s="61" t="s">
        <v>202</v>
      </c>
      <c r="C33" s="47"/>
      <c r="D33" s="328"/>
      <c r="E33" s="323"/>
    </row>
    <row r="34" spans="1:5" s="152" customFormat="1" ht="12" customHeight="1" thickBot="1">
      <c r="A34" s="78" t="s">
        <v>11</v>
      </c>
      <c r="B34" s="56" t="s">
        <v>285</v>
      </c>
      <c r="C34" s="324"/>
      <c r="D34" s="326"/>
      <c r="E34" s="146"/>
    </row>
    <row r="35" spans="1:5" s="152" customFormat="1" ht="12" customHeight="1" thickBot="1">
      <c r="A35" s="78" t="s">
        <v>12</v>
      </c>
      <c r="B35" s="56" t="s">
        <v>315</v>
      </c>
      <c r="C35" s="324"/>
      <c r="D35" s="326"/>
      <c r="E35" s="146"/>
    </row>
    <row r="36" spans="1:5" s="152" customFormat="1" ht="12" customHeight="1" thickBot="1">
      <c r="A36" s="74" t="s">
        <v>13</v>
      </c>
      <c r="B36" s="56" t="s">
        <v>416</v>
      </c>
      <c r="C36" s="119">
        <f>+C8+C20+C25+C26+C30+C34+C35</f>
        <v>0</v>
      </c>
      <c r="D36" s="264">
        <f>+D8+D20+D25+D26+D30+D34+D35</f>
        <v>0</v>
      </c>
      <c r="E36" s="147">
        <f>+E8+E20+E25+E26+E30+E34+E35</f>
        <v>0</v>
      </c>
    </row>
    <row r="37" spans="1:5" s="152" customFormat="1" ht="12" customHeight="1" thickBot="1">
      <c r="A37" s="84" t="s">
        <v>14</v>
      </c>
      <c r="B37" s="56" t="s">
        <v>317</v>
      </c>
      <c r="C37" s="119">
        <f>+C38+C39+C40</f>
        <v>0</v>
      </c>
      <c r="D37" s="264">
        <f>+D38+D39+D40</f>
        <v>0</v>
      </c>
      <c r="E37" s="147">
        <f>+E38+E39+E40</f>
        <v>0</v>
      </c>
    </row>
    <row r="38" spans="1:5" s="152" customFormat="1" ht="12" customHeight="1">
      <c r="A38" s="211" t="s">
        <v>318</v>
      </c>
      <c r="B38" s="212" t="s">
        <v>150</v>
      </c>
      <c r="C38" s="274"/>
      <c r="D38" s="58"/>
      <c r="E38" s="272"/>
    </row>
    <row r="39" spans="1:5" s="152" customFormat="1" ht="12" customHeight="1">
      <c r="A39" s="211" t="s">
        <v>319</v>
      </c>
      <c r="B39" s="213" t="s">
        <v>0</v>
      </c>
      <c r="C39" s="120"/>
      <c r="D39" s="265"/>
      <c r="E39" s="269"/>
    </row>
    <row r="40" spans="1:5" s="217" customFormat="1" ht="12" customHeight="1" thickBot="1">
      <c r="A40" s="210" t="s">
        <v>320</v>
      </c>
      <c r="B40" s="61" t="s">
        <v>321</v>
      </c>
      <c r="C40" s="47"/>
      <c r="D40" s="328"/>
      <c r="E40" s="323"/>
    </row>
    <row r="41" spans="1:5" s="217" customFormat="1" ht="15" customHeight="1" thickBot="1">
      <c r="A41" s="84" t="s">
        <v>15</v>
      </c>
      <c r="B41" s="85" t="s">
        <v>322</v>
      </c>
      <c r="C41" s="325">
        <f>+C36+C37</f>
        <v>0</v>
      </c>
      <c r="D41" s="321">
        <f>+D36+D37</f>
        <v>0</v>
      </c>
      <c r="E41" s="150">
        <f>+E36+E37</f>
        <v>0</v>
      </c>
    </row>
    <row r="42" spans="1:3" s="217" customFormat="1" ht="15" customHeight="1">
      <c r="A42" s="86"/>
      <c r="B42" s="87"/>
      <c r="C42" s="148"/>
    </row>
    <row r="43" spans="1:3" ht="13.5" thickBot="1">
      <c r="A43" s="88"/>
      <c r="B43" s="89"/>
      <c r="C43" s="149"/>
    </row>
    <row r="44" spans="1:5" s="216" customFormat="1" ht="16.5" customHeight="1" thickBot="1">
      <c r="A44" s="849" t="s">
        <v>41</v>
      </c>
      <c r="B44" s="850"/>
      <c r="C44" s="850"/>
      <c r="D44" s="850"/>
      <c r="E44" s="851"/>
    </row>
    <row r="45" spans="1:5" s="218" customFormat="1" ht="12" customHeight="1" thickBot="1">
      <c r="A45" s="78" t="s">
        <v>6</v>
      </c>
      <c r="B45" s="56" t="s">
        <v>323</v>
      </c>
      <c r="C45" s="119">
        <f>SUM(C46:C50)</f>
        <v>0</v>
      </c>
      <c r="D45" s="264">
        <f>SUM(D46:D50)</f>
        <v>0</v>
      </c>
      <c r="E45" s="147">
        <f>SUM(E46:E50)</f>
        <v>0</v>
      </c>
    </row>
    <row r="46" spans="1:5" ht="12" customHeight="1">
      <c r="A46" s="210" t="s">
        <v>64</v>
      </c>
      <c r="B46" s="7" t="s">
        <v>35</v>
      </c>
      <c r="C46" s="274"/>
      <c r="D46" s="58"/>
      <c r="E46" s="272"/>
    </row>
    <row r="47" spans="1:5" ht="12" customHeight="1">
      <c r="A47" s="210" t="s">
        <v>65</v>
      </c>
      <c r="B47" s="6" t="s">
        <v>124</v>
      </c>
      <c r="C47" s="46"/>
      <c r="D47" s="59"/>
      <c r="E47" s="270"/>
    </row>
    <row r="48" spans="1:5" ht="12" customHeight="1">
      <c r="A48" s="210" t="s">
        <v>66</v>
      </c>
      <c r="B48" s="6" t="s">
        <v>92</v>
      </c>
      <c r="C48" s="46"/>
      <c r="D48" s="59"/>
      <c r="E48" s="270"/>
    </row>
    <row r="49" spans="1:5" ht="12" customHeight="1">
      <c r="A49" s="210" t="s">
        <v>67</v>
      </c>
      <c r="B49" s="6" t="s">
        <v>125</v>
      </c>
      <c r="C49" s="46"/>
      <c r="D49" s="59"/>
      <c r="E49" s="270"/>
    </row>
    <row r="50" spans="1:5" ht="12" customHeight="1" thickBot="1">
      <c r="A50" s="210" t="s">
        <v>99</v>
      </c>
      <c r="B50" s="6" t="s">
        <v>126</v>
      </c>
      <c r="C50" s="46"/>
      <c r="D50" s="59"/>
      <c r="E50" s="270"/>
    </row>
    <row r="51" spans="1:5" ht="12" customHeight="1" thickBot="1">
      <c r="A51" s="78" t="s">
        <v>7</v>
      </c>
      <c r="B51" s="56" t="s">
        <v>324</v>
      </c>
      <c r="C51" s="119">
        <f>SUM(C52:C54)</f>
        <v>0</v>
      </c>
      <c r="D51" s="264">
        <f>SUM(D52:D54)</f>
        <v>0</v>
      </c>
      <c r="E51" s="147">
        <f>SUM(E52:E54)</f>
        <v>0</v>
      </c>
    </row>
    <row r="52" spans="1:5" s="218" customFormat="1" ht="12" customHeight="1">
      <c r="A52" s="210" t="s">
        <v>70</v>
      </c>
      <c r="B52" s="7" t="s">
        <v>145</v>
      </c>
      <c r="C52" s="274"/>
      <c r="D52" s="58"/>
      <c r="E52" s="272"/>
    </row>
    <row r="53" spans="1:5" ht="12" customHeight="1">
      <c r="A53" s="210" t="s">
        <v>71</v>
      </c>
      <c r="B53" s="6" t="s">
        <v>128</v>
      </c>
      <c r="C53" s="46"/>
      <c r="D53" s="59"/>
      <c r="E53" s="270"/>
    </row>
    <row r="54" spans="1:5" ht="12" customHeight="1">
      <c r="A54" s="210" t="s">
        <v>72</v>
      </c>
      <c r="B54" s="6" t="s">
        <v>42</v>
      </c>
      <c r="C54" s="46"/>
      <c r="D54" s="59"/>
      <c r="E54" s="270"/>
    </row>
    <row r="55" spans="1:5" ht="12" customHeight="1" thickBot="1">
      <c r="A55" s="210" t="s">
        <v>73</v>
      </c>
      <c r="B55" s="6" t="s">
        <v>413</v>
      </c>
      <c r="C55" s="46"/>
      <c r="D55" s="59"/>
      <c r="E55" s="270"/>
    </row>
    <row r="56" spans="1:5" ht="15" customHeight="1" thickBot="1">
      <c r="A56" s="78" t="s">
        <v>8</v>
      </c>
      <c r="B56" s="56" t="s">
        <v>2</v>
      </c>
      <c r="C56" s="324"/>
      <c r="D56" s="326"/>
      <c r="E56" s="146"/>
    </row>
    <row r="57" spans="1:5" ht="13.5" thickBot="1">
      <c r="A57" s="78" t="s">
        <v>9</v>
      </c>
      <c r="B57" s="90" t="s">
        <v>417</v>
      </c>
      <c r="C57" s="325">
        <f>+C45+C51+C56</f>
        <v>0</v>
      </c>
      <c r="D57" s="321">
        <f>+D45+D51+D56</f>
        <v>0</v>
      </c>
      <c r="E57" s="150">
        <f>+E45+E51+E56</f>
        <v>0</v>
      </c>
    </row>
    <row r="58" spans="3:4" ht="15" customHeight="1" thickBot="1">
      <c r="C58" s="724">
        <f>C41-C57</f>
        <v>0</v>
      </c>
      <c r="D58" s="724">
        <f>D41-D57</f>
        <v>0</v>
      </c>
    </row>
    <row r="59" spans="1:5" ht="14.25" customHeight="1" thickBot="1">
      <c r="A59" s="330" t="s">
        <v>497</v>
      </c>
      <c r="B59" s="331"/>
      <c r="C59" s="319"/>
      <c r="D59" s="319"/>
      <c r="E59" s="318"/>
    </row>
    <row r="60" spans="1:5" ht="13.5" thickBot="1">
      <c r="A60" s="332" t="s">
        <v>498</v>
      </c>
      <c r="B60" s="333"/>
      <c r="C60" s="319"/>
      <c r="D60" s="319"/>
      <c r="E60" s="318"/>
    </row>
  </sheetData>
  <sheetProtection sheet="1"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20" zoomScaleNormal="120" workbookViewId="0" topLeftCell="A1">
      <selection activeCell="I16" sqref="I16"/>
    </sheetView>
  </sheetViews>
  <sheetFormatPr defaultColWidth="9.00390625" defaultRowHeight="12.75"/>
  <cols>
    <col min="1" max="1" width="13.875" style="91" customWidth="1"/>
    <col min="2" max="2" width="54.50390625" style="92" customWidth="1"/>
    <col min="3" max="5" width="15.875" style="92" customWidth="1"/>
    <col min="6" max="16384" width="9.375" style="92" customWidth="1"/>
  </cols>
  <sheetData>
    <row r="1" spans="1:5" s="82" customFormat="1" ht="16.5" thickBot="1">
      <c r="A1" s="387"/>
      <c r="B1" s="858" t="str">
        <f>CONCATENATE("6.3.3. melléklet ",Z_ALAPADATOK!A7," ",Z_ALAPADATOK!B7," ",Z_ALAPADATOK!C7," ",Z_ALAPADATOK!D7," ",Z_ALAPADATOK!E7," ",Z_ALAPADATOK!F7," ",Z_ALAPADATOK!G7," ",Z_ALAPADATOK!H7)</f>
        <v>6.3.3. melléklet a 2 / 2019. ( IV.26. ) önkormányzati rendelethez</v>
      </c>
      <c r="C1" s="859"/>
      <c r="D1" s="859"/>
      <c r="E1" s="859"/>
    </row>
    <row r="2" spans="1:5" s="214" customFormat="1" ht="25.5" customHeight="1" thickBot="1">
      <c r="A2" s="388" t="s">
        <v>464</v>
      </c>
      <c r="B2" s="855" t="str">
        <f>CONCATENATE('Z_6.3.2.sz.mell'!B2:D2)</f>
        <v>Ficánka Óvoda, Mini Bölcsőde és Konyha</v>
      </c>
      <c r="C2" s="856"/>
      <c r="D2" s="857"/>
      <c r="E2" s="389" t="s">
        <v>44</v>
      </c>
    </row>
    <row r="3" spans="1:5" s="214" customFormat="1" ht="24.75" thickBot="1">
      <c r="A3" s="388" t="s">
        <v>137</v>
      </c>
      <c r="B3" s="855" t="s">
        <v>418</v>
      </c>
      <c r="C3" s="856"/>
      <c r="D3" s="857"/>
      <c r="E3" s="389" t="s">
        <v>335</v>
      </c>
    </row>
    <row r="4" spans="1:5" s="215" customFormat="1" ht="15.75" customHeight="1" thickBot="1">
      <c r="A4" s="390"/>
      <c r="B4" s="390"/>
      <c r="C4" s="391"/>
      <c r="D4" s="392"/>
      <c r="E4" s="391" t="str">
        <f>'Z_6.3.2.sz.mell'!E4</f>
        <v> Forintban!</v>
      </c>
    </row>
    <row r="5" spans="1:5" ht="24.75" thickBot="1">
      <c r="A5" s="393" t="s">
        <v>138</v>
      </c>
      <c r="B5" s="394" t="s">
        <v>496</v>
      </c>
      <c r="C5" s="394" t="s">
        <v>460</v>
      </c>
      <c r="D5" s="395" t="s">
        <v>461</v>
      </c>
      <c r="E5" s="376" t="str">
        <f>CONCATENATE('Z_6.3.2.sz.mell'!E5)</f>
        <v>Teljesítés
2018. XII. 31.</v>
      </c>
    </row>
    <row r="6" spans="1:5" s="216" customFormat="1" ht="12.75" customHeight="1" thickBot="1">
      <c r="A6" s="426" t="s">
        <v>388</v>
      </c>
      <c r="B6" s="427" t="s">
        <v>389</v>
      </c>
      <c r="C6" s="427" t="s">
        <v>390</v>
      </c>
      <c r="D6" s="428" t="s">
        <v>392</v>
      </c>
      <c r="E6" s="429" t="s">
        <v>391</v>
      </c>
    </row>
    <row r="7" spans="1:5" s="216" customFormat="1" ht="15.75" customHeight="1" thickBot="1">
      <c r="A7" s="849" t="s">
        <v>40</v>
      </c>
      <c r="B7" s="850"/>
      <c r="C7" s="850"/>
      <c r="D7" s="850"/>
      <c r="E7" s="851"/>
    </row>
    <row r="8" spans="1:5" s="152" customFormat="1" ht="12" customHeight="1" thickBot="1">
      <c r="A8" s="74" t="s">
        <v>6</v>
      </c>
      <c r="B8" s="83" t="s">
        <v>409</v>
      </c>
      <c r="C8" s="119">
        <f>SUM(C9:C19)</f>
        <v>0</v>
      </c>
      <c r="D8" s="119">
        <f>SUM(D9:D19)</f>
        <v>0</v>
      </c>
      <c r="E8" s="121">
        <f>SUM(E9:E19)</f>
        <v>0</v>
      </c>
    </row>
    <row r="9" spans="1:5" s="152" customFormat="1" ht="12" customHeight="1">
      <c r="A9" s="209" t="s">
        <v>64</v>
      </c>
      <c r="B9" s="8" t="s">
        <v>186</v>
      </c>
      <c r="C9" s="275"/>
      <c r="D9" s="275"/>
      <c r="E9" s="322"/>
    </row>
    <row r="10" spans="1:5" s="152" customFormat="1" ht="12" customHeight="1">
      <c r="A10" s="210" t="s">
        <v>65</v>
      </c>
      <c r="B10" s="6" t="s">
        <v>187</v>
      </c>
      <c r="C10" s="116"/>
      <c r="D10" s="262"/>
      <c r="E10" s="267"/>
    </row>
    <row r="11" spans="1:5" s="152" customFormat="1" ht="12" customHeight="1">
      <c r="A11" s="210" t="s">
        <v>66</v>
      </c>
      <c r="B11" s="6" t="s">
        <v>188</v>
      </c>
      <c r="C11" s="116"/>
      <c r="D11" s="262"/>
      <c r="E11" s="267"/>
    </row>
    <row r="12" spans="1:5" s="152" customFormat="1" ht="12" customHeight="1">
      <c r="A12" s="210" t="s">
        <v>67</v>
      </c>
      <c r="B12" s="6" t="s">
        <v>189</v>
      </c>
      <c r="C12" s="116"/>
      <c r="D12" s="262"/>
      <c r="E12" s="267"/>
    </row>
    <row r="13" spans="1:5" s="152" customFormat="1" ht="12" customHeight="1">
      <c r="A13" s="210" t="s">
        <v>99</v>
      </c>
      <c r="B13" s="6" t="s">
        <v>190</v>
      </c>
      <c r="C13" s="116"/>
      <c r="D13" s="262"/>
      <c r="E13" s="267"/>
    </row>
    <row r="14" spans="1:5" s="152" customFormat="1" ht="12" customHeight="1">
      <c r="A14" s="210" t="s">
        <v>68</v>
      </c>
      <c r="B14" s="6" t="s">
        <v>307</v>
      </c>
      <c r="C14" s="116"/>
      <c r="D14" s="262"/>
      <c r="E14" s="267"/>
    </row>
    <row r="15" spans="1:5" s="152" customFormat="1" ht="12" customHeight="1">
      <c r="A15" s="210" t="s">
        <v>69</v>
      </c>
      <c r="B15" s="5" t="s">
        <v>308</v>
      </c>
      <c r="C15" s="116"/>
      <c r="D15" s="262"/>
      <c r="E15" s="267"/>
    </row>
    <row r="16" spans="1:5" s="152" customFormat="1" ht="12" customHeight="1">
      <c r="A16" s="210" t="s">
        <v>77</v>
      </c>
      <c r="B16" s="6" t="s">
        <v>193</v>
      </c>
      <c r="C16" s="273"/>
      <c r="D16" s="327"/>
      <c r="E16" s="271"/>
    </row>
    <row r="17" spans="1:5" s="217" customFormat="1" ht="12" customHeight="1">
      <c r="A17" s="210" t="s">
        <v>78</v>
      </c>
      <c r="B17" s="6" t="s">
        <v>194</v>
      </c>
      <c r="C17" s="116"/>
      <c r="D17" s="262"/>
      <c r="E17" s="267"/>
    </row>
    <row r="18" spans="1:5" s="217" customFormat="1" ht="12" customHeight="1">
      <c r="A18" s="210" t="s">
        <v>79</v>
      </c>
      <c r="B18" s="6" t="s">
        <v>340</v>
      </c>
      <c r="C18" s="118"/>
      <c r="D18" s="263"/>
      <c r="E18" s="268"/>
    </row>
    <row r="19" spans="1:5" s="217" customFormat="1" ht="12" customHeight="1" thickBot="1">
      <c r="A19" s="210" t="s">
        <v>80</v>
      </c>
      <c r="B19" s="5" t="s">
        <v>195</v>
      </c>
      <c r="C19" s="118"/>
      <c r="D19" s="263"/>
      <c r="E19" s="268"/>
    </row>
    <row r="20" spans="1:5" s="152" customFormat="1" ht="12" customHeight="1" thickBot="1">
      <c r="A20" s="74" t="s">
        <v>7</v>
      </c>
      <c r="B20" s="83" t="s">
        <v>309</v>
      </c>
      <c r="C20" s="119">
        <f>SUM(C21:C23)</f>
        <v>0</v>
      </c>
      <c r="D20" s="264">
        <f>SUM(D21:D23)</f>
        <v>0</v>
      </c>
      <c r="E20" s="147">
        <f>SUM(E21:E23)</f>
        <v>0</v>
      </c>
    </row>
    <row r="21" spans="1:5" s="217" customFormat="1" ht="12" customHeight="1">
      <c r="A21" s="210" t="s">
        <v>70</v>
      </c>
      <c r="B21" s="7" t="s">
        <v>168</v>
      </c>
      <c r="C21" s="116"/>
      <c r="D21" s="262"/>
      <c r="E21" s="267"/>
    </row>
    <row r="22" spans="1:5" s="217" customFormat="1" ht="12" customHeight="1">
      <c r="A22" s="210" t="s">
        <v>71</v>
      </c>
      <c r="B22" s="6" t="s">
        <v>310</v>
      </c>
      <c r="C22" s="116"/>
      <c r="D22" s="262"/>
      <c r="E22" s="267"/>
    </row>
    <row r="23" spans="1:5" s="217" customFormat="1" ht="12" customHeight="1">
      <c r="A23" s="210" t="s">
        <v>72</v>
      </c>
      <c r="B23" s="6" t="s">
        <v>311</v>
      </c>
      <c r="C23" s="116"/>
      <c r="D23" s="262"/>
      <c r="E23" s="267"/>
    </row>
    <row r="24" spans="1:5" s="217" customFormat="1" ht="12" customHeight="1" thickBot="1">
      <c r="A24" s="210" t="s">
        <v>73</v>
      </c>
      <c r="B24" s="6" t="s">
        <v>414</v>
      </c>
      <c r="C24" s="116"/>
      <c r="D24" s="262"/>
      <c r="E24" s="267"/>
    </row>
    <row r="25" spans="1:5" s="217" customFormat="1" ht="12" customHeight="1" thickBot="1">
      <c r="A25" s="78" t="s">
        <v>8</v>
      </c>
      <c r="B25" s="56" t="s">
        <v>115</v>
      </c>
      <c r="C25" s="324"/>
      <c r="D25" s="326"/>
      <c r="E25" s="146"/>
    </row>
    <row r="26" spans="1:5" s="217" customFormat="1" ht="12" customHeight="1" thickBot="1">
      <c r="A26" s="78" t="s">
        <v>9</v>
      </c>
      <c r="B26" s="56" t="s">
        <v>312</v>
      </c>
      <c r="C26" s="119">
        <f>+C27+C28</f>
        <v>0</v>
      </c>
      <c r="D26" s="264">
        <f>+D27+D28</f>
        <v>0</v>
      </c>
      <c r="E26" s="147">
        <f>+E27+E28</f>
        <v>0</v>
      </c>
    </row>
    <row r="27" spans="1:5" s="217" customFormat="1" ht="12" customHeight="1">
      <c r="A27" s="211" t="s">
        <v>177</v>
      </c>
      <c r="B27" s="212" t="s">
        <v>310</v>
      </c>
      <c r="C27" s="274"/>
      <c r="D27" s="58"/>
      <c r="E27" s="272"/>
    </row>
    <row r="28" spans="1:5" s="217" customFormat="1" ht="12" customHeight="1">
      <c r="A28" s="211" t="s">
        <v>178</v>
      </c>
      <c r="B28" s="213" t="s">
        <v>313</v>
      </c>
      <c r="C28" s="120"/>
      <c r="D28" s="265"/>
      <c r="E28" s="269"/>
    </row>
    <row r="29" spans="1:5" s="217" customFormat="1" ht="12" customHeight="1" thickBot="1">
      <c r="A29" s="210" t="s">
        <v>179</v>
      </c>
      <c r="B29" s="61" t="s">
        <v>415</v>
      </c>
      <c r="C29" s="47"/>
      <c r="D29" s="328"/>
      <c r="E29" s="323"/>
    </row>
    <row r="30" spans="1:5" s="217" customFormat="1" ht="12" customHeight="1" thickBot="1">
      <c r="A30" s="78" t="s">
        <v>10</v>
      </c>
      <c r="B30" s="56" t="s">
        <v>314</v>
      </c>
      <c r="C30" s="119">
        <f>+C31+C32+C33</f>
        <v>0</v>
      </c>
      <c r="D30" s="264">
        <f>+D31+D32+D33</f>
        <v>0</v>
      </c>
      <c r="E30" s="147">
        <f>+E31+E32+E33</f>
        <v>0</v>
      </c>
    </row>
    <row r="31" spans="1:5" s="217" customFormat="1" ht="12" customHeight="1">
      <c r="A31" s="211" t="s">
        <v>57</v>
      </c>
      <c r="B31" s="212" t="s">
        <v>200</v>
      </c>
      <c r="C31" s="274"/>
      <c r="D31" s="58"/>
      <c r="E31" s="272"/>
    </row>
    <row r="32" spans="1:5" s="217" customFormat="1" ht="12" customHeight="1">
      <c r="A32" s="211" t="s">
        <v>58</v>
      </c>
      <c r="B32" s="213" t="s">
        <v>201</v>
      </c>
      <c r="C32" s="120"/>
      <c r="D32" s="265"/>
      <c r="E32" s="269"/>
    </row>
    <row r="33" spans="1:5" s="217" customFormat="1" ht="12" customHeight="1" thickBot="1">
      <c r="A33" s="210" t="s">
        <v>59</v>
      </c>
      <c r="B33" s="61" t="s">
        <v>202</v>
      </c>
      <c r="C33" s="47"/>
      <c r="D33" s="328"/>
      <c r="E33" s="323"/>
    </row>
    <row r="34" spans="1:5" s="152" customFormat="1" ht="12" customHeight="1" thickBot="1">
      <c r="A34" s="78" t="s">
        <v>11</v>
      </c>
      <c r="B34" s="56" t="s">
        <v>285</v>
      </c>
      <c r="C34" s="324"/>
      <c r="D34" s="326"/>
      <c r="E34" s="146"/>
    </row>
    <row r="35" spans="1:5" s="152" customFormat="1" ht="12" customHeight="1" thickBot="1">
      <c r="A35" s="78" t="s">
        <v>12</v>
      </c>
      <c r="B35" s="56" t="s">
        <v>315</v>
      </c>
      <c r="C35" s="324"/>
      <c r="D35" s="326"/>
      <c r="E35" s="146"/>
    </row>
    <row r="36" spans="1:5" s="152" customFormat="1" ht="12" customHeight="1" thickBot="1">
      <c r="A36" s="74" t="s">
        <v>13</v>
      </c>
      <c r="B36" s="56" t="s">
        <v>416</v>
      </c>
      <c r="C36" s="119">
        <f>+C8+C20+C25+C26+C30+C34+C35</f>
        <v>0</v>
      </c>
      <c r="D36" s="264">
        <f>+D8+D20+D25+D26+D30+D34+D35</f>
        <v>0</v>
      </c>
      <c r="E36" s="147">
        <f>+E8+E20+E25+E26+E30+E34+E35</f>
        <v>0</v>
      </c>
    </row>
    <row r="37" spans="1:5" s="152" customFormat="1" ht="12" customHeight="1" thickBot="1">
      <c r="A37" s="84" t="s">
        <v>14</v>
      </c>
      <c r="B37" s="56" t="s">
        <v>317</v>
      </c>
      <c r="C37" s="119">
        <f>+C38+C39+C40</f>
        <v>0</v>
      </c>
      <c r="D37" s="264">
        <f>+D38+D39+D40</f>
        <v>0</v>
      </c>
      <c r="E37" s="147">
        <f>+E38+E39+E40</f>
        <v>0</v>
      </c>
    </row>
    <row r="38" spans="1:5" s="152" customFormat="1" ht="12" customHeight="1">
      <c r="A38" s="211" t="s">
        <v>318</v>
      </c>
      <c r="B38" s="212" t="s">
        <v>150</v>
      </c>
      <c r="C38" s="274"/>
      <c r="D38" s="58"/>
      <c r="E38" s="272"/>
    </row>
    <row r="39" spans="1:5" s="152" customFormat="1" ht="12" customHeight="1">
      <c r="A39" s="211" t="s">
        <v>319</v>
      </c>
      <c r="B39" s="213" t="s">
        <v>0</v>
      </c>
      <c r="C39" s="120"/>
      <c r="D39" s="265"/>
      <c r="E39" s="269"/>
    </row>
    <row r="40" spans="1:5" s="217" customFormat="1" ht="12" customHeight="1" thickBot="1">
      <c r="A40" s="210" t="s">
        <v>320</v>
      </c>
      <c r="B40" s="61" t="s">
        <v>321</v>
      </c>
      <c r="C40" s="47"/>
      <c r="D40" s="328"/>
      <c r="E40" s="323"/>
    </row>
    <row r="41" spans="1:5" s="217" customFormat="1" ht="15" customHeight="1" thickBot="1">
      <c r="A41" s="84" t="s">
        <v>15</v>
      </c>
      <c r="B41" s="85" t="s">
        <v>322</v>
      </c>
      <c r="C41" s="325">
        <f>+C36+C37</f>
        <v>0</v>
      </c>
      <c r="D41" s="321">
        <f>+D36+D37</f>
        <v>0</v>
      </c>
      <c r="E41" s="150">
        <f>+E36+E37</f>
        <v>0</v>
      </c>
    </row>
    <row r="42" spans="1:3" s="217" customFormat="1" ht="15" customHeight="1">
      <c r="A42" s="86"/>
      <c r="B42" s="87"/>
      <c r="C42" s="148"/>
    </row>
    <row r="43" spans="1:3" ht="13.5" thickBot="1">
      <c r="A43" s="88"/>
      <c r="B43" s="89"/>
      <c r="C43" s="149"/>
    </row>
    <row r="44" spans="1:5" s="216" customFormat="1" ht="16.5" customHeight="1" thickBot="1">
      <c r="A44" s="849" t="s">
        <v>41</v>
      </c>
      <c r="B44" s="850"/>
      <c r="C44" s="850"/>
      <c r="D44" s="850"/>
      <c r="E44" s="851"/>
    </row>
    <row r="45" spans="1:5" s="218" customFormat="1" ht="12" customHeight="1" thickBot="1">
      <c r="A45" s="78" t="s">
        <v>6</v>
      </c>
      <c r="B45" s="56" t="s">
        <v>323</v>
      </c>
      <c r="C45" s="119">
        <f>SUM(C46:C50)</f>
        <v>0</v>
      </c>
      <c r="D45" s="264">
        <f>SUM(D46:D50)</f>
        <v>0</v>
      </c>
      <c r="E45" s="147">
        <f>SUM(E46:E50)</f>
        <v>0</v>
      </c>
    </row>
    <row r="46" spans="1:5" ht="12" customHeight="1">
      <c r="A46" s="210" t="s">
        <v>64</v>
      </c>
      <c r="B46" s="7" t="s">
        <v>35</v>
      </c>
      <c r="C46" s="274"/>
      <c r="D46" s="58"/>
      <c r="E46" s="272"/>
    </row>
    <row r="47" spans="1:5" ht="12" customHeight="1">
      <c r="A47" s="210" t="s">
        <v>65</v>
      </c>
      <c r="B47" s="6" t="s">
        <v>124</v>
      </c>
      <c r="C47" s="46"/>
      <c r="D47" s="59"/>
      <c r="E47" s="270"/>
    </row>
    <row r="48" spans="1:5" ht="12" customHeight="1">
      <c r="A48" s="210" t="s">
        <v>66</v>
      </c>
      <c r="B48" s="6" t="s">
        <v>92</v>
      </c>
      <c r="C48" s="46"/>
      <c r="D48" s="59"/>
      <c r="E48" s="270"/>
    </row>
    <row r="49" spans="1:5" ht="12" customHeight="1">
      <c r="A49" s="210" t="s">
        <v>67</v>
      </c>
      <c r="B49" s="6" t="s">
        <v>125</v>
      </c>
      <c r="C49" s="46"/>
      <c r="D49" s="59"/>
      <c r="E49" s="270"/>
    </row>
    <row r="50" spans="1:5" ht="12" customHeight="1" thickBot="1">
      <c r="A50" s="210" t="s">
        <v>99</v>
      </c>
      <c r="B50" s="6" t="s">
        <v>126</v>
      </c>
      <c r="C50" s="46"/>
      <c r="D50" s="59"/>
      <c r="E50" s="270"/>
    </row>
    <row r="51" spans="1:5" ht="12" customHeight="1" thickBot="1">
      <c r="A51" s="78" t="s">
        <v>7</v>
      </c>
      <c r="B51" s="56" t="s">
        <v>324</v>
      </c>
      <c r="C51" s="119">
        <f>SUM(C52:C54)</f>
        <v>0</v>
      </c>
      <c r="D51" s="264">
        <f>SUM(D52:D54)</f>
        <v>0</v>
      </c>
      <c r="E51" s="147">
        <f>SUM(E52:E54)</f>
        <v>0</v>
      </c>
    </row>
    <row r="52" spans="1:5" s="218" customFormat="1" ht="12" customHeight="1">
      <c r="A52" s="210" t="s">
        <v>70</v>
      </c>
      <c r="B52" s="7" t="s">
        <v>145</v>
      </c>
      <c r="C52" s="274"/>
      <c r="D52" s="58"/>
      <c r="E52" s="272"/>
    </row>
    <row r="53" spans="1:5" ht="12" customHeight="1">
      <c r="A53" s="210" t="s">
        <v>71</v>
      </c>
      <c r="B53" s="6" t="s">
        <v>128</v>
      </c>
      <c r="C53" s="46"/>
      <c r="D53" s="59"/>
      <c r="E53" s="270"/>
    </row>
    <row r="54" spans="1:5" ht="12" customHeight="1">
      <c r="A54" s="210" t="s">
        <v>72</v>
      </c>
      <c r="B54" s="6" t="s">
        <v>42</v>
      </c>
      <c r="C54" s="46"/>
      <c r="D54" s="59"/>
      <c r="E54" s="270"/>
    </row>
    <row r="55" spans="1:5" ht="12" customHeight="1" thickBot="1">
      <c r="A55" s="210" t="s">
        <v>73</v>
      </c>
      <c r="B55" s="6" t="s">
        <v>413</v>
      </c>
      <c r="C55" s="46"/>
      <c r="D55" s="59"/>
      <c r="E55" s="270"/>
    </row>
    <row r="56" spans="1:5" ht="15" customHeight="1" thickBot="1">
      <c r="A56" s="78" t="s">
        <v>8</v>
      </c>
      <c r="B56" s="56" t="s">
        <v>2</v>
      </c>
      <c r="C56" s="324"/>
      <c r="D56" s="326"/>
      <c r="E56" s="146"/>
    </row>
    <row r="57" spans="1:5" ht="13.5" thickBot="1">
      <c r="A57" s="78" t="s">
        <v>9</v>
      </c>
      <c r="B57" s="90" t="s">
        <v>417</v>
      </c>
      <c r="C57" s="325">
        <f>+C45+C51+C56</f>
        <v>0</v>
      </c>
      <c r="D57" s="321">
        <f>+D45+D51+D56</f>
        <v>0</v>
      </c>
      <c r="E57" s="150">
        <f>+E45+E51+E56</f>
        <v>0</v>
      </c>
    </row>
    <row r="58" spans="3:4" ht="15" customHeight="1" thickBot="1">
      <c r="C58" s="724">
        <f>C41-C57</f>
        <v>0</v>
      </c>
      <c r="D58" s="724">
        <f>D41-D57</f>
        <v>0</v>
      </c>
    </row>
    <row r="59" spans="1:5" ht="14.25" customHeight="1" thickBot="1">
      <c r="A59" s="330" t="s">
        <v>497</v>
      </c>
      <c r="B59" s="331"/>
      <c r="C59" s="319"/>
      <c r="D59" s="319"/>
      <c r="E59" s="318"/>
    </row>
    <row r="60" spans="1:5" ht="13.5" thickBot="1">
      <c r="A60" s="332" t="s">
        <v>498</v>
      </c>
      <c r="B60" s="333"/>
      <c r="C60" s="319"/>
      <c r="D60" s="319"/>
      <c r="E60" s="318"/>
    </row>
  </sheetData>
  <sheetProtection sheet="1"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G40"/>
  <sheetViews>
    <sheetView zoomScale="120" zoomScaleNormal="120" workbookViewId="0" topLeftCell="A1">
      <selection activeCell="A1" sqref="A1:G1"/>
    </sheetView>
  </sheetViews>
  <sheetFormatPr defaultColWidth="9.00390625" defaultRowHeight="12.75"/>
  <cols>
    <col min="1" max="1" width="7.00390625" style="752" customWidth="1"/>
    <col min="2" max="2" width="32.00390625" style="92" customWidth="1"/>
    <col min="3" max="3" width="12.50390625" style="92" customWidth="1"/>
    <col min="4" max="6" width="11.875" style="92" customWidth="1"/>
    <col min="7" max="7" width="12.875" style="92" customWidth="1"/>
    <col min="8" max="16384" width="9.375" style="92" customWidth="1"/>
  </cols>
  <sheetData>
    <row r="1" spans="1:7" ht="18.75" customHeight="1">
      <c r="A1" s="864" t="str">
        <f>CONCATENATE("7. melléklet ",Z_ALAPADATOK!A7," ",Z_ALAPADATOK!B7," ",Z_ALAPADATOK!C7," ",Z_ALAPADATOK!D7," ",Z_ALAPADATOK!E7," ",Z_ALAPADATOK!F7," ",Z_ALAPADATOK!G7," ",Z_ALAPADATOK!H7)</f>
        <v>7. melléklet a 2 / 2019. ( IV.26. ) önkormányzati rendelethez</v>
      </c>
      <c r="B1" s="865"/>
      <c r="C1" s="865"/>
      <c r="D1" s="865"/>
      <c r="E1" s="865"/>
      <c r="F1" s="865"/>
      <c r="G1" s="865"/>
    </row>
    <row r="3" spans="1:7" ht="15.75">
      <c r="A3" s="862" t="s">
        <v>870</v>
      </c>
      <c r="B3" s="863"/>
      <c r="C3" s="863"/>
      <c r="D3" s="863"/>
      <c r="E3" s="863"/>
      <c r="F3" s="863"/>
      <c r="G3" s="863"/>
    </row>
    <row r="5" ht="14.25" thickBot="1">
      <c r="G5" s="753" t="s">
        <v>874</v>
      </c>
    </row>
    <row r="6" spans="1:7" ht="17.25" customHeight="1" thickBot="1">
      <c r="A6" s="866" t="s">
        <v>4</v>
      </c>
      <c r="B6" s="868" t="s">
        <v>862</v>
      </c>
      <c r="C6" s="868" t="s">
        <v>863</v>
      </c>
      <c r="D6" s="868" t="s">
        <v>864</v>
      </c>
      <c r="E6" s="870" t="s">
        <v>865</v>
      </c>
      <c r="F6" s="870"/>
      <c r="G6" s="871"/>
    </row>
    <row r="7" spans="1:7" s="756" customFormat="1" ht="57.75" customHeight="1" thickBot="1">
      <c r="A7" s="867"/>
      <c r="B7" s="869"/>
      <c r="C7" s="869"/>
      <c r="D7" s="869"/>
      <c r="E7" s="754" t="s">
        <v>866</v>
      </c>
      <c r="F7" s="754" t="s">
        <v>867</v>
      </c>
      <c r="G7" s="755" t="s">
        <v>868</v>
      </c>
    </row>
    <row r="8" spans="1:7" s="218" customFormat="1" ht="15" customHeight="1" thickBot="1">
      <c r="A8" s="74" t="s">
        <v>388</v>
      </c>
      <c r="B8" s="75" t="s">
        <v>389</v>
      </c>
      <c r="C8" s="75" t="s">
        <v>390</v>
      </c>
      <c r="D8" s="75" t="s">
        <v>392</v>
      </c>
      <c r="E8" s="75" t="s">
        <v>869</v>
      </c>
      <c r="F8" s="75" t="s">
        <v>393</v>
      </c>
      <c r="G8" s="76" t="s">
        <v>394</v>
      </c>
    </row>
    <row r="9" spans="1:7" ht="15" customHeight="1">
      <c r="A9" s="757" t="s">
        <v>6</v>
      </c>
      <c r="B9" s="758" t="s">
        <v>897</v>
      </c>
      <c r="C9" s="759">
        <v>337383966</v>
      </c>
      <c r="D9" s="759"/>
      <c r="E9" s="760">
        <f>C9+D9</f>
        <v>337383966</v>
      </c>
      <c r="F9" s="759">
        <v>3911200</v>
      </c>
      <c r="G9" s="761">
        <v>333472766</v>
      </c>
    </row>
    <row r="10" spans="1:7" ht="15" customHeight="1">
      <c r="A10" s="762" t="s">
        <v>7</v>
      </c>
      <c r="B10" s="763" t="s">
        <v>907</v>
      </c>
      <c r="C10" s="21">
        <v>37394105</v>
      </c>
      <c r="D10" s="21"/>
      <c r="E10" s="760">
        <f aca="true" t="shared" si="0" ref="E10:E39">C10+D10</f>
        <v>37394105</v>
      </c>
      <c r="F10" s="21">
        <v>37394105</v>
      </c>
      <c r="G10" s="519"/>
    </row>
    <row r="11" spans="1:7" ht="15" customHeight="1">
      <c r="A11" s="762" t="s">
        <v>8</v>
      </c>
      <c r="B11" s="763" t="s">
        <v>908</v>
      </c>
      <c r="C11" s="21">
        <v>11491854</v>
      </c>
      <c r="D11" s="21"/>
      <c r="E11" s="760">
        <f t="shared" si="0"/>
        <v>11491854</v>
      </c>
      <c r="F11" s="21">
        <v>11491854</v>
      </c>
      <c r="G11" s="519"/>
    </row>
    <row r="12" spans="1:7" ht="15" customHeight="1">
      <c r="A12" s="762" t="s">
        <v>9</v>
      </c>
      <c r="B12" s="763"/>
      <c r="C12" s="21"/>
      <c r="D12" s="21"/>
      <c r="E12" s="760">
        <f t="shared" si="0"/>
        <v>0</v>
      </c>
      <c r="F12" s="21"/>
      <c r="G12" s="519"/>
    </row>
    <row r="13" spans="1:7" ht="15" customHeight="1">
      <c r="A13" s="762" t="s">
        <v>10</v>
      </c>
      <c r="B13" s="763"/>
      <c r="C13" s="21"/>
      <c r="D13" s="21"/>
      <c r="E13" s="760">
        <f t="shared" si="0"/>
        <v>0</v>
      </c>
      <c r="F13" s="21"/>
      <c r="G13" s="519"/>
    </row>
    <row r="14" spans="1:7" ht="15" customHeight="1">
      <c r="A14" s="762" t="s">
        <v>11</v>
      </c>
      <c r="B14" s="763"/>
      <c r="C14" s="21"/>
      <c r="D14" s="21"/>
      <c r="E14" s="760">
        <f t="shared" si="0"/>
        <v>0</v>
      </c>
      <c r="F14" s="21"/>
      <c r="G14" s="519"/>
    </row>
    <row r="15" spans="1:7" ht="15" customHeight="1">
      <c r="A15" s="762" t="s">
        <v>12</v>
      </c>
      <c r="B15" s="763"/>
      <c r="C15" s="21"/>
      <c r="D15" s="21"/>
      <c r="E15" s="760">
        <f t="shared" si="0"/>
        <v>0</v>
      </c>
      <c r="F15" s="21"/>
      <c r="G15" s="519"/>
    </row>
    <row r="16" spans="1:7" ht="15" customHeight="1">
      <c r="A16" s="762" t="s">
        <v>13</v>
      </c>
      <c r="B16" s="763"/>
      <c r="C16" s="21"/>
      <c r="D16" s="21"/>
      <c r="E16" s="760">
        <f t="shared" si="0"/>
        <v>0</v>
      </c>
      <c r="F16" s="21"/>
      <c r="G16" s="519"/>
    </row>
    <row r="17" spans="1:7" ht="15" customHeight="1">
      <c r="A17" s="762" t="s">
        <v>14</v>
      </c>
      <c r="B17" s="763"/>
      <c r="C17" s="21"/>
      <c r="D17" s="21"/>
      <c r="E17" s="760">
        <f t="shared" si="0"/>
        <v>0</v>
      </c>
      <c r="F17" s="21"/>
      <c r="G17" s="519"/>
    </row>
    <row r="18" spans="1:7" ht="15" customHeight="1">
      <c r="A18" s="762" t="s">
        <v>15</v>
      </c>
      <c r="B18" s="763"/>
      <c r="C18" s="21"/>
      <c r="D18" s="21"/>
      <c r="E18" s="760">
        <f t="shared" si="0"/>
        <v>0</v>
      </c>
      <c r="F18" s="21"/>
      <c r="G18" s="519"/>
    </row>
    <row r="19" spans="1:7" ht="15" customHeight="1">
      <c r="A19" s="762" t="s">
        <v>16</v>
      </c>
      <c r="B19" s="763"/>
      <c r="C19" s="21"/>
      <c r="D19" s="21"/>
      <c r="E19" s="760">
        <f t="shared" si="0"/>
        <v>0</v>
      </c>
      <c r="F19" s="21"/>
      <c r="G19" s="519"/>
    </row>
    <row r="20" spans="1:7" ht="15" customHeight="1">
      <c r="A20" s="762" t="s">
        <v>17</v>
      </c>
      <c r="B20" s="763"/>
      <c r="C20" s="21"/>
      <c r="D20" s="21"/>
      <c r="E20" s="760">
        <f t="shared" si="0"/>
        <v>0</v>
      </c>
      <c r="F20" s="21"/>
      <c r="G20" s="519"/>
    </row>
    <row r="21" spans="1:7" ht="15" customHeight="1">
      <c r="A21" s="762" t="s">
        <v>18</v>
      </c>
      <c r="B21" s="763"/>
      <c r="C21" s="21"/>
      <c r="D21" s="21"/>
      <c r="E21" s="760">
        <f t="shared" si="0"/>
        <v>0</v>
      </c>
      <c r="F21" s="21"/>
      <c r="G21" s="519"/>
    </row>
    <row r="22" spans="1:7" ht="15" customHeight="1">
      <c r="A22" s="762" t="s">
        <v>19</v>
      </c>
      <c r="B22" s="763"/>
      <c r="C22" s="21"/>
      <c r="D22" s="21"/>
      <c r="E22" s="760">
        <f t="shared" si="0"/>
        <v>0</v>
      </c>
      <c r="F22" s="21"/>
      <c r="G22" s="519"/>
    </row>
    <row r="23" spans="1:7" ht="15" customHeight="1">
      <c r="A23" s="762" t="s">
        <v>20</v>
      </c>
      <c r="B23" s="763"/>
      <c r="C23" s="21"/>
      <c r="D23" s="21"/>
      <c r="E23" s="760">
        <f t="shared" si="0"/>
        <v>0</v>
      </c>
      <c r="F23" s="21"/>
      <c r="G23" s="519"/>
    </row>
    <row r="24" spans="1:7" ht="15" customHeight="1">
      <c r="A24" s="762" t="s">
        <v>21</v>
      </c>
      <c r="B24" s="763"/>
      <c r="C24" s="21"/>
      <c r="D24" s="21"/>
      <c r="E24" s="760">
        <f t="shared" si="0"/>
        <v>0</v>
      </c>
      <c r="F24" s="21"/>
      <c r="G24" s="519"/>
    </row>
    <row r="25" spans="1:7" ht="15" customHeight="1">
      <c r="A25" s="762" t="s">
        <v>22</v>
      </c>
      <c r="B25" s="763"/>
      <c r="C25" s="21"/>
      <c r="D25" s="21"/>
      <c r="E25" s="760">
        <f t="shared" si="0"/>
        <v>0</v>
      </c>
      <c r="F25" s="21"/>
      <c r="G25" s="519"/>
    </row>
    <row r="26" spans="1:7" ht="15" customHeight="1">
      <c r="A26" s="762" t="s">
        <v>23</v>
      </c>
      <c r="B26" s="763"/>
      <c r="C26" s="21"/>
      <c r="D26" s="21"/>
      <c r="E26" s="760">
        <f t="shared" si="0"/>
        <v>0</v>
      </c>
      <c r="F26" s="21"/>
      <c r="G26" s="519"/>
    </row>
    <row r="27" spans="1:7" ht="15" customHeight="1">
      <c r="A27" s="762" t="s">
        <v>24</v>
      </c>
      <c r="B27" s="763"/>
      <c r="C27" s="21"/>
      <c r="D27" s="21"/>
      <c r="E27" s="760">
        <f t="shared" si="0"/>
        <v>0</v>
      </c>
      <c r="F27" s="21"/>
      <c r="G27" s="519"/>
    </row>
    <row r="28" spans="1:7" ht="15" customHeight="1">
      <c r="A28" s="762" t="s">
        <v>25</v>
      </c>
      <c r="B28" s="763"/>
      <c r="C28" s="21"/>
      <c r="D28" s="21"/>
      <c r="E28" s="760">
        <f t="shared" si="0"/>
        <v>0</v>
      </c>
      <c r="F28" s="21"/>
      <c r="G28" s="519"/>
    </row>
    <row r="29" spans="1:7" ht="15" customHeight="1">
      <c r="A29" s="762" t="s">
        <v>26</v>
      </c>
      <c r="B29" s="763"/>
      <c r="C29" s="21"/>
      <c r="D29" s="21"/>
      <c r="E29" s="760">
        <f t="shared" si="0"/>
        <v>0</v>
      </c>
      <c r="F29" s="21"/>
      <c r="G29" s="519"/>
    </row>
    <row r="30" spans="1:7" ht="15" customHeight="1">
      <c r="A30" s="762" t="s">
        <v>27</v>
      </c>
      <c r="B30" s="763"/>
      <c r="C30" s="21"/>
      <c r="D30" s="21"/>
      <c r="E30" s="760">
        <f t="shared" si="0"/>
        <v>0</v>
      </c>
      <c r="F30" s="21"/>
      <c r="G30" s="519"/>
    </row>
    <row r="31" spans="1:7" ht="15" customHeight="1">
      <c r="A31" s="762" t="s">
        <v>28</v>
      </c>
      <c r="B31" s="763"/>
      <c r="C31" s="21"/>
      <c r="D31" s="21"/>
      <c r="E31" s="760">
        <f t="shared" si="0"/>
        <v>0</v>
      </c>
      <c r="F31" s="21"/>
      <c r="G31" s="519"/>
    </row>
    <row r="32" spans="1:7" ht="15" customHeight="1">
      <c r="A32" s="762" t="s">
        <v>29</v>
      </c>
      <c r="B32" s="763"/>
      <c r="C32" s="21"/>
      <c r="D32" s="21"/>
      <c r="E32" s="760">
        <f t="shared" si="0"/>
        <v>0</v>
      </c>
      <c r="F32" s="21"/>
      <c r="G32" s="519"/>
    </row>
    <row r="33" spans="1:7" ht="15" customHeight="1">
      <c r="A33" s="762" t="s">
        <v>30</v>
      </c>
      <c r="B33" s="763"/>
      <c r="C33" s="21"/>
      <c r="D33" s="21"/>
      <c r="E33" s="760">
        <f t="shared" si="0"/>
        <v>0</v>
      </c>
      <c r="F33" s="21"/>
      <c r="G33" s="519"/>
    </row>
    <row r="34" spans="1:7" ht="15" customHeight="1">
      <c r="A34" s="762" t="s">
        <v>31</v>
      </c>
      <c r="B34" s="763"/>
      <c r="C34" s="21"/>
      <c r="D34" s="21"/>
      <c r="E34" s="760"/>
      <c r="F34" s="21"/>
      <c r="G34" s="519"/>
    </row>
    <row r="35" spans="1:7" ht="15" customHeight="1">
      <c r="A35" s="762" t="s">
        <v>32</v>
      </c>
      <c r="B35" s="763"/>
      <c r="C35" s="21"/>
      <c r="D35" s="21"/>
      <c r="E35" s="760">
        <f t="shared" si="0"/>
        <v>0</v>
      </c>
      <c r="F35" s="21"/>
      <c r="G35" s="519"/>
    </row>
    <row r="36" spans="1:7" ht="15" customHeight="1">
      <c r="A36" s="762" t="s">
        <v>33</v>
      </c>
      <c r="B36" s="763"/>
      <c r="C36" s="21"/>
      <c r="D36" s="21"/>
      <c r="E36" s="760">
        <f t="shared" si="0"/>
        <v>0</v>
      </c>
      <c r="F36" s="21"/>
      <c r="G36" s="519"/>
    </row>
    <row r="37" spans="1:7" ht="15" customHeight="1">
      <c r="A37" s="762" t="s">
        <v>625</v>
      </c>
      <c r="B37" s="763"/>
      <c r="C37" s="21"/>
      <c r="D37" s="21"/>
      <c r="E37" s="760">
        <f t="shared" si="0"/>
        <v>0</v>
      </c>
      <c r="F37" s="21"/>
      <c r="G37" s="519"/>
    </row>
    <row r="38" spans="1:7" ht="15" customHeight="1">
      <c r="A38" s="762" t="s">
        <v>626</v>
      </c>
      <c r="B38" s="763"/>
      <c r="C38" s="21"/>
      <c r="D38" s="21"/>
      <c r="E38" s="760">
        <f t="shared" si="0"/>
        <v>0</v>
      </c>
      <c r="F38" s="21"/>
      <c r="G38" s="519"/>
    </row>
    <row r="39" spans="1:7" ht="15" customHeight="1" thickBot="1">
      <c r="A39" s="762" t="s">
        <v>627</v>
      </c>
      <c r="B39" s="764"/>
      <c r="C39" s="22"/>
      <c r="D39" s="22"/>
      <c r="E39" s="760">
        <f t="shared" si="0"/>
        <v>0</v>
      </c>
      <c r="F39" s="22"/>
      <c r="G39" s="765"/>
    </row>
    <row r="40" spans="1:7" ht="15" customHeight="1" thickBot="1">
      <c r="A40" s="860" t="s">
        <v>38</v>
      </c>
      <c r="B40" s="861"/>
      <c r="C40" s="36">
        <f>SUM(C9:C39)</f>
        <v>386269925</v>
      </c>
      <c r="D40" s="36">
        <f>SUM(D9:D39)</f>
        <v>0</v>
      </c>
      <c r="E40" s="36">
        <f>SUM(E9:E39)</f>
        <v>386269925</v>
      </c>
      <c r="F40" s="36">
        <f>SUM(F9:F39)</f>
        <v>52797159</v>
      </c>
      <c r="G40" s="37">
        <f>SUM(G9:G39)</f>
        <v>333472766</v>
      </c>
    </row>
  </sheetData>
  <sheetProtection/>
  <mergeCells count="8">
    <mergeCell ref="A40:B40"/>
    <mergeCell ref="A3:G3"/>
    <mergeCell ref="A1:G1"/>
    <mergeCell ref="A6:A7"/>
    <mergeCell ref="B6:B7"/>
    <mergeCell ref="C6:C7"/>
    <mergeCell ref="D6:D7"/>
    <mergeCell ref="E6:G6"/>
  </mergeCells>
  <printOptions horizontalCentered="1"/>
  <pageMargins left="0.7874015748031497" right="0.7874015748031497" top="1.5748031496062993" bottom="0.984251968503937" header="0.7874015748031497" footer="0.7874015748031497"/>
  <pageSetup orientation="portrait" paperSize="9" scale="95" r:id="rId1"/>
  <headerFooter alignWithMargins="0">
    <oddHeader>&amp;C&amp;"Times New Roman CE,Félkövér"&amp;12
KÖLTSÉGVETÉSI SZERVEK PÉNZMARADVÁNYÁNAK ALAKULÁSA&amp;R&amp;"Times New Roman CE,Dőlt"&amp;12
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6"/>
  <sheetViews>
    <sheetView zoomScale="120" zoomScaleNormal="120" zoomScalePageLayoutView="120" workbookViewId="0" topLeftCell="A4">
      <selection activeCell="E2" sqref="E2"/>
    </sheetView>
  </sheetViews>
  <sheetFormatPr defaultColWidth="9.00390625" defaultRowHeight="12.75"/>
  <cols>
    <col min="1" max="1" width="13.875" style="31" customWidth="1"/>
    <col min="2" max="2" width="88.625" style="31" customWidth="1"/>
    <col min="3" max="5" width="15.875" style="31" customWidth="1"/>
    <col min="6" max="6" width="4.875" style="751" customWidth="1"/>
    <col min="7" max="16384" width="9.375" style="31" customWidth="1"/>
  </cols>
  <sheetData>
    <row r="1" spans="2:6" ht="47.25" customHeight="1">
      <c r="B1" s="872" t="s">
        <v>876</v>
      </c>
      <c r="C1" s="872"/>
      <c r="D1" s="872"/>
      <c r="E1" s="872"/>
      <c r="F1" s="873" t="str">
        <f>CONCATENATE("8. melléklet ",Z_ALAPADATOK!A7," ",Z_ALAPADATOK!B7," ",Z_ALAPADATOK!C7," ",Z_ALAPADATOK!D7," ",Z_ALAPADATOK!E7," ",Z_ALAPADATOK!F7," ",Z_ALAPADATOK!G7," ",Z_ALAPADATOK!H7)</f>
        <v>8. melléklet a 2 / 2019. ( IV.26. ) önkormányzati rendelethez</v>
      </c>
    </row>
    <row r="2" spans="2:6" ht="22.5" customHeight="1" thickBot="1">
      <c r="B2" s="874"/>
      <c r="C2" s="874"/>
      <c r="D2" s="874"/>
      <c r="E2" s="728" t="s">
        <v>858</v>
      </c>
      <c r="F2" s="873"/>
    </row>
    <row r="3" spans="1:6" s="32" customFormat="1" ht="54" customHeight="1" thickBot="1">
      <c r="A3" s="729" t="s">
        <v>875</v>
      </c>
      <c r="B3" s="730" t="s">
        <v>859</v>
      </c>
      <c r="C3" s="731" t="str">
        <f>+CONCATENATE(Z_ALAPADATOK!B1,". évi tervezett támogatás összesen")</f>
        <v>2018. évi tervezett támogatás összesen</v>
      </c>
      <c r="D3" s="731" t="s">
        <v>860</v>
      </c>
      <c r="E3" s="732" t="s">
        <v>861</v>
      </c>
      <c r="F3" s="873"/>
    </row>
    <row r="4" spans="1:6" s="737" customFormat="1" ht="13.5" thickBot="1">
      <c r="A4" s="733" t="s">
        <v>388</v>
      </c>
      <c r="B4" s="734" t="s">
        <v>389</v>
      </c>
      <c r="C4" s="735" t="s">
        <v>390</v>
      </c>
      <c r="D4" s="735" t="s">
        <v>392</v>
      </c>
      <c r="E4" s="736" t="s">
        <v>391</v>
      </c>
      <c r="F4" s="873"/>
    </row>
    <row r="5" spans="1:6" ht="12.75">
      <c r="A5" s="738"/>
      <c r="B5" s="770" t="s">
        <v>163</v>
      </c>
      <c r="C5" s="168">
        <v>128228568</v>
      </c>
      <c r="D5" s="254">
        <v>128228568</v>
      </c>
      <c r="E5" s="104">
        <v>128354838</v>
      </c>
      <c r="F5" s="873"/>
    </row>
    <row r="6" spans="1:6" ht="12.75" customHeight="1">
      <c r="A6" s="741"/>
      <c r="B6" s="771" t="s">
        <v>164</v>
      </c>
      <c r="C6" s="167">
        <v>62145100</v>
      </c>
      <c r="D6" s="255">
        <v>62145100</v>
      </c>
      <c r="E6" s="103">
        <v>61997800</v>
      </c>
      <c r="F6" s="873"/>
    </row>
    <row r="7" spans="1:6" ht="12.75">
      <c r="A7" s="741"/>
      <c r="B7" s="771" t="s">
        <v>165</v>
      </c>
      <c r="C7" s="167">
        <v>64367285</v>
      </c>
      <c r="D7" s="255">
        <v>64922059</v>
      </c>
      <c r="E7" s="103">
        <v>64922059</v>
      </c>
      <c r="F7" s="873"/>
    </row>
    <row r="8" spans="1:6" ht="12.75">
      <c r="A8" s="741"/>
      <c r="B8" s="771" t="s">
        <v>166</v>
      </c>
      <c r="C8" s="167">
        <v>4541130</v>
      </c>
      <c r="D8" s="255">
        <v>5588560</v>
      </c>
      <c r="E8" s="103">
        <v>6036701</v>
      </c>
      <c r="F8" s="873"/>
    </row>
    <row r="9" spans="1:6" ht="12.75">
      <c r="A9" s="741"/>
      <c r="B9" s="771" t="s">
        <v>396</v>
      </c>
      <c r="C9" s="167">
        <v>23227917</v>
      </c>
      <c r="D9" s="255">
        <v>32819684</v>
      </c>
      <c r="E9" s="103">
        <v>16024433</v>
      </c>
      <c r="F9" s="873"/>
    </row>
    <row r="10" spans="1:6" ht="12.75">
      <c r="A10" s="741"/>
      <c r="B10" s="742"/>
      <c r="C10" s="739"/>
      <c r="D10" s="739"/>
      <c r="E10" s="740"/>
      <c r="F10" s="873"/>
    </row>
    <row r="11" spans="1:6" ht="12.75">
      <c r="A11" s="741"/>
      <c r="B11" s="742"/>
      <c r="C11" s="739"/>
      <c r="D11" s="739"/>
      <c r="E11" s="740"/>
      <c r="F11" s="873"/>
    </row>
    <row r="12" spans="1:6" ht="12.75">
      <c r="A12" s="741"/>
      <c r="B12" s="742"/>
      <c r="C12" s="739"/>
      <c r="D12" s="739"/>
      <c r="E12" s="740"/>
      <c r="F12" s="873"/>
    </row>
    <row r="13" spans="1:6" ht="12.75" customHeight="1">
      <c r="A13" s="741"/>
      <c r="B13" s="742"/>
      <c r="C13" s="739"/>
      <c r="D13" s="739"/>
      <c r="E13" s="740"/>
      <c r="F13" s="873"/>
    </row>
    <row r="14" spans="1:6" ht="12.75">
      <c r="A14" s="741"/>
      <c r="B14" s="742"/>
      <c r="C14" s="739"/>
      <c r="D14" s="739"/>
      <c r="E14" s="740"/>
      <c r="F14" s="873"/>
    </row>
    <row r="15" spans="1:6" ht="12.75">
      <c r="A15" s="741"/>
      <c r="B15" s="742"/>
      <c r="C15" s="739"/>
      <c r="D15" s="739"/>
      <c r="E15" s="740"/>
      <c r="F15" s="873"/>
    </row>
    <row r="16" spans="1:6" ht="12.75">
      <c r="A16" s="741"/>
      <c r="B16" s="742"/>
      <c r="C16" s="739"/>
      <c r="D16" s="739"/>
      <c r="E16" s="740"/>
      <c r="F16" s="873"/>
    </row>
    <row r="17" spans="1:6" ht="12.75">
      <c r="A17" s="741"/>
      <c r="B17" s="742"/>
      <c r="C17" s="739"/>
      <c r="D17" s="739"/>
      <c r="E17" s="740"/>
      <c r="F17" s="873"/>
    </row>
    <row r="18" spans="1:6" ht="12.75">
      <c r="A18" s="741"/>
      <c r="B18" s="742"/>
      <c r="C18" s="739"/>
      <c r="D18" s="739"/>
      <c r="E18" s="740"/>
      <c r="F18" s="873"/>
    </row>
    <row r="19" spans="1:6" ht="12.75">
      <c r="A19" s="741"/>
      <c r="B19" s="742"/>
      <c r="C19" s="739"/>
      <c r="D19" s="739"/>
      <c r="E19" s="740"/>
      <c r="F19" s="873"/>
    </row>
    <row r="20" spans="1:6" ht="12.75">
      <c r="A20" s="741"/>
      <c r="B20" s="742"/>
      <c r="C20" s="739"/>
      <c r="D20" s="739"/>
      <c r="E20" s="740"/>
      <c r="F20" s="873"/>
    </row>
    <row r="21" spans="1:6" ht="12.75">
      <c r="A21" s="741"/>
      <c r="B21" s="742"/>
      <c r="C21" s="739"/>
      <c r="D21" s="739"/>
      <c r="E21" s="740"/>
      <c r="F21" s="873"/>
    </row>
    <row r="22" spans="1:6" ht="12.75">
      <c r="A22" s="741"/>
      <c r="B22" s="742"/>
      <c r="C22" s="739"/>
      <c r="D22" s="739"/>
      <c r="E22" s="740"/>
      <c r="F22" s="873"/>
    </row>
    <row r="23" spans="1:6" ht="12.75">
      <c r="A23" s="741"/>
      <c r="B23" s="742"/>
      <c r="C23" s="739"/>
      <c r="D23" s="739"/>
      <c r="E23" s="740"/>
      <c r="F23" s="873"/>
    </row>
    <row r="24" spans="1:6" ht="13.5" thickBot="1">
      <c r="A24" s="743"/>
      <c r="B24" s="744"/>
      <c r="C24" s="745"/>
      <c r="D24" s="745"/>
      <c r="E24" s="740"/>
      <c r="F24" s="873"/>
    </row>
    <row r="25" spans="1:6" s="750" customFormat="1" ht="19.5" customHeight="1" thickBot="1">
      <c r="A25" s="746"/>
      <c r="B25" s="747" t="s">
        <v>38</v>
      </c>
      <c r="C25" s="748">
        <f>SUM(C5:C24)</f>
        <v>282510000</v>
      </c>
      <c r="D25" s="748">
        <f>SUM(D5:D24)</f>
        <v>293703971</v>
      </c>
      <c r="E25" s="749">
        <f>SUM(E5:E24)</f>
        <v>277335831</v>
      </c>
      <c r="F25" s="873"/>
    </row>
    <row r="26" spans="1:2" ht="12.75">
      <c r="A26" s="875" t="s">
        <v>877</v>
      </c>
      <c r="B26" s="875"/>
    </row>
  </sheetData>
  <sheetProtection sheet="1"/>
  <mergeCells count="4">
    <mergeCell ref="B1:E1"/>
    <mergeCell ref="F1:F25"/>
    <mergeCell ref="B2:D2"/>
    <mergeCell ref="A26:B26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9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1">
      <selection activeCell="E142" sqref="E142"/>
    </sheetView>
  </sheetViews>
  <sheetFormatPr defaultColWidth="9.00390625" defaultRowHeight="12.75"/>
  <cols>
    <col min="1" max="1" width="9.00390625" style="154" customWidth="1"/>
    <col min="2" max="2" width="68.875" style="154" customWidth="1"/>
    <col min="3" max="3" width="18.875" style="154" customWidth="1"/>
    <col min="4" max="5" width="18.875" style="155" customWidth="1"/>
    <col min="6" max="16384" width="9.375" style="176" customWidth="1"/>
  </cols>
  <sheetData>
    <row r="1" spans="1:5" ht="15.75">
      <c r="A1" s="795" t="str">
        <f>CONCATENATE("1. tájékoztató tábla ",Z_ALAPADATOK!A7," ",Z_ALAPADATOK!B7," ",Z_ALAPADATOK!C7," ",Z_ALAPADATOK!D7," ",Z_ALAPADATOK!E7," ",Z_ALAPADATOK!F7," ",Z_ALAPADATOK!G7," ",Z_ALAPADATOK!H7)</f>
        <v>1. tájékoztató tábla a 2 / 2019. ( IV.26. ) önkormányzati rendelethez</v>
      </c>
      <c r="B1" s="796"/>
      <c r="C1" s="796"/>
      <c r="D1" s="796"/>
      <c r="E1" s="796"/>
    </row>
    <row r="2" spans="1:5" ht="15.75">
      <c r="A2" s="797" t="str">
        <f>CONCATENATE(Z_ALAPADATOK!A3)</f>
        <v>Kállósemjén Nagyközség Önkormányzata</v>
      </c>
      <c r="B2" s="798"/>
      <c r="C2" s="798"/>
      <c r="D2" s="798"/>
      <c r="E2" s="798"/>
    </row>
    <row r="3" spans="1:5" ht="15.75">
      <c r="A3" s="797" t="s">
        <v>786</v>
      </c>
      <c r="B3" s="798"/>
      <c r="C3" s="798"/>
      <c r="D3" s="798"/>
      <c r="E3" s="798"/>
    </row>
    <row r="4" spans="1:5" ht="15.75" customHeight="1">
      <c r="A4" s="809" t="s">
        <v>3</v>
      </c>
      <c r="B4" s="809"/>
      <c r="C4" s="809"/>
      <c r="D4" s="809"/>
      <c r="E4" s="809"/>
    </row>
    <row r="5" spans="1:5" ht="15.75" customHeight="1" thickBot="1">
      <c r="A5" s="668" t="s">
        <v>102</v>
      </c>
      <c r="B5" s="668"/>
      <c r="C5" s="668"/>
      <c r="D5" s="669"/>
      <c r="E5" s="772" t="s">
        <v>858</v>
      </c>
    </row>
    <row r="6" spans="1:5" ht="15.75" customHeight="1">
      <c r="A6" s="876" t="s">
        <v>52</v>
      </c>
      <c r="B6" s="878" t="s">
        <v>5</v>
      </c>
      <c r="C6" s="880" t="s">
        <v>883</v>
      </c>
      <c r="D6" s="882" t="s">
        <v>884</v>
      </c>
      <c r="E6" s="883"/>
    </row>
    <row r="7" spans="1:5" ht="37.5" customHeight="1" thickBot="1">
      <c r="A7" s="877"/>
      <c r="B7" s="879"/>
      <c r="C7" s="881"/>
      <c r="D7" s="670" t="s">
        <v>461</v>
      </c>
      <c r="E7" s="369" t="s">
        <v>449</v>
      </c>
    </row>
    <row r="8" spans="1:5" s="177" customFormat="1" ht="12" customHeight="1" thickBot="1">
      <c r="A8" s="671" t="s">
        <v>388</v>
      </c>
      <c r="B8" s="672" t="s">
        <v>389</v>
      </c>
      <c r="C8" s="672" t="s">
        <v>390</v>
      </c>
      <c r="D8" s="672" t="s">
        <v>391</v>
      </c>
      <c r="E8" s="673" t="s">
        <v>393</v>
      </c>
    </row>
    <row r="9" spans="1:5" s="178" customFormat="1" ht="12" customHeight="1" thickBot="1">
      <c r="A9" s="18" t="s">
        <v>6</v>
      </c>
      <c r="B9" s="432" t="s">
        <v>162</v>
      </c>
      <c r="C9" s="166">
        <f>+C10+C11+C12+C13+C14+C15</f>
        <v>268250883</v>
      </c>
      <c r="D9" s="166">
        <f>+D10+D11+D12+D13+D14+D15</f>
        <v>293703971</v>
      </c>
      <c r="E9" s="102">
        <f>+E10+E11+E12+E13+E14+E15</f>
        <v>277335831</v>
      </c>
    </row>
    <row r="10" spans="1:5" s="178" customFormat="1" ht="12" customHeight="1">
      <c r="A10" s="13" t="s">
        <v>64</v>
      </c>
      <c r="B10" s="433" t="s">
        <v>163</v>
      </c>
      <c r="C10" s="168">
        <v>120699580</v>
      </c>
      <c r="D10" s="168">
        <v>128228568</v>
      </c>
      <c r="E10" s="104">
        <v>128354838</v>
      </c>
    </row>
    <row r="11" spans="1:5" s="178" customFormat="1" ht="12" customHeight="1">
      <c r="A11" s="12" t="s">
        <v>65</v>
      </c>
      <c r="B11" s="434" t="s">
        <v>164</v>
      </c>
      <c r="C11" s="167">
        <v>63871969</v>
      </c>
      <c r="D11" s="167">
        <v>62145100</v>
      </c>
      <c r="E11" s="103">
        <v>61997800</v>
      </c>
    </row>
    <row r="12" spans="1:5" s="178" customFormat="1" ht="12" customHeight="1">
      <c r="A12" s="12" t="s">
        <v>66</v>
      </c>
      <c r="B12" s="434" t="s">
        <v>165</v>
      </c>
      <c r="C12" s="167">
        <v>61724036</v>
      </c>
      <c r="D12" s="167">
        <v>64922059</v>
      </c>
      <c r="E12" s="103">
        <v>64922059</v>
      </c>
    </row>
    <row r="13" spans="1:5" s="178" customFormat="1" ht="12" customHeight="1">
      <c r="A13" s="12" t="s">
        <v>67</v>
      </c>
      <c r="B13" s="434" t="s">
        <v>166</v>
      </c>
      <c r="C13" s="167">
        <v>5233853</v>
      </c>
      <c r="D13" s="167">
        <v>5588560</v>
      </c>
      <c r="E13" s="103">
        <v>6036701</v>
      </c>
    </row>
    <row r="14" spans="1:5" s="178" customFormat="1" ht="12" customHeight="1">
      <c r="A14" s="12" t="s">
        <v>99</v>
      </c>
      <c r="B14" s="434" t="s">
        <v>532</v>
      </c>
      <c r="C14" s="435">
        <v>16701344</v>
      </c>
      <c r="D14" s="167">
        <v>32819684</v>
      </c>
      <c r="E14" s="103">
        <v>16024433</v>
      </c>
    </row>
    <row r="15" spans="1:5" s="178" customFormat="1" ht="12" customHeight="1" thickBot="1">
      <c r="A15" s="14" t="s">
        <v>68</v>
      </c>
      <c r="B15" s="436" t="s">
        <v>533</v>
      </c>
      <c r="C15" s="437">
        <v>20101</v>
      </c>
      <c r="D15" s="169"/>
      <c r="E15" s="105"/>
    </row>
    <row r="16" spans="1:5" s="178" customFormat="1" ht="12" customHeight="1" thickBot="1">
      <c r="A16" s="18" t="s">
        <v>7</v>
      </c>
      <c r="B16" s="438" t="s">
        <v>167</v>
      </c>
      <c r="C16" s="166">
        <f>+C17+C18+C19+C20+C21</f>
        <v>141157527</v>
      </c>
      <c r="D16" s="166">
        <f>+D17+D18+D19+D20+D21</f>
        <v>138627724</v>
      </c>
      <c r="E16" s="102">
        <f>+E17+E18+E19+E20+E21</f>
        <v>204001756</v>
      </c>
    </row>
    <row r="17" spans="1:5" s="178" customFormat="1" ht="12" customHeight="1">
      <c r="A17" s="13" t="s">
        <v>70</v>
      </c>
      <c r="B17" s="433" t="s">
        <v>168</v>
      </c>
      <c r="C17" s="168"/>
      <c r="D17" s="168"/>
      <c r="E17" s="104"/>
    </row>
    <row r="18" spans="1:5" s="178" customFormat="1" ht="12" customHeight="1">
      <c r="A18" s="12" t="s">
        <v>71</v>
      </c>
      <c r="B18" s="434" t="s">
        <v>169</v>
      </c>
      <c r="C18" s="167"/>
      <c r="D18" s="167"/>
      <c r="E18" s="103"/>
    </row>
    <row r="19" spans="1:5" s="178" customFormat="1" ht="12" customHeight="1">
      <c r="A19" s="12" t="s">
        <v>72</v>
      </c>
      <c r="B19" s="434" t="s">
        <v>328</v>
      </c>
      <c r="C19" s="167"/>
      <c r="D19" s="167"/>
      <c r="E19" s="103"/>
    </row>
    <row r="20" spans="1:5" s="178" customFormat="1" ht="12" customHeight="1">
      <c r="A20" s="12" t="s">
        <v>73</v>
      </c>
      <c r="B20" s="434" t="s">
        <v>329</v>
      </c>
      <c r="C20" s="167"/>
      <c r="D20" s="167"/>
      <c r="E20" s="103"/>
    </row>
    <row r="21" spans="1:5" s="178" customFormat="1" ht="12" customHeight="1">
      <c r="A21" s="12" t="s">
        <v>74</v>
      </c>
      <c r="B21" s="434" t="s">
        <v>170</v>
      </c>
      <c r="C21" s="167">
        <v>141157527</v>
      </c>
      <c r="D21" s="167">
        <v>138627724</v>
      </c>
      <c r="E21" s="103">
        <v>204001756</v>
      </c>
    </row>
    <row r="22" spans="1:5" s="178" customFormat="1" ht="12" customHeight="1" thickBot="1">
      <c r="A22" s="14" t="s">
        <v>81</v>
      </c>
      <c r="B22" s="436" t="s">
        <v>171</v>
      </c>
      <c r="C22" s="169"/>
      <c r="D22" s="169"/>
      <c r="E22" s="105">
        <v>62625095</v>
      </c>
    </row>
    <row r="23" spans="1:5" s="178" customFormat="1" ht="12" customHeight="1" thickBot="1">
      <c r="A23" s="18" t="s">
        <v>8</v>
      </c>
      <c r="B23" s="432" t="s">
        <v>172</v>
      </c>
      <c r="C23" s="166">
        <f>+C24+C25+C26+C27+C28</f>
        <v>771837976</v>
      </c>
      <c r="D23" s="166">
        <f>+D24+D25+D26+D27+D28</f>
        <v>43339733</v>
      </c>
      <c r="E23" s="102">
        <f>+E24+E25+E26+E27+E28</f>
        <v>51577821</v>
      </c>
    </row>
    <row r="24" spans="1:5" s="178" customFormat="1" ht="12" customHeight="1">
      <c r="A24" s="13" t="s">
        <v>53</v>
      </c>
      <c r="B24" s="433" t="s">
        <v>173</v>
      </c>
      <c r="C24" s="168">
        <v>10407724</v>
      </c>
      <c r="D24" s="168">
        <v>107000</v>
      </c>
      <c r="E24" s="104">
        <v>107000</v>
      </c>
    </row>
    <row r="25" spans="1:5" s="178" customFormat="1" ht="12" customHeight="1">
      <c r="A25" s="12" t="s">
        <v>54</v>
      </c>
      <c r="B25" s="434" t="s">
        <v>174</v>
      </c>
      <c r="C25" s="167"/>
      <c r="D25" s="167"/>
      <c r="E25" s="103"/>
    </row>
    <row r="26" spans="1:5" s="178" customFormat="1" ht="12" customHeight="1">
      <c r="A26" s="12" t="s">
        <v>55</v>
      </c>
      <c r="B26" s="434" t="s">
        <v>330</v>
      </c>
      <c r="C26" s="167"/>
      <c r="D26" s="167"/>
      <c r="E26" s="103"/>
    </row>
    <row r="27" spans="1:5" s="178" customFormat="1" ht="12" customHeight="1">
      <c r="A27" s="12" t="s">
        <v>56</v>
      </c>
      <c r="B27" s="434" t="s">
        <v>331</v>
      </c>
      <c r="C27" s="167"/>
      <c r="D27" s="167"/>
      <c r="E27" s="103"/>
    </row>
    <row r="28" spans="1:5" s="178" customFormat="1" ht="12" customHeight="1">
      <c r="A28" s="12" t="s">
        <v>112</v>
      </c>
      <c r="B28" s="434" t="s">
        <v>175</v>
      </c>
      <c r="C28" s="167">
        <v>761430252</v>
      </c>
      <c r="D28" s="167">
        <v>43232733</v>
      </c>
      <c r="E28" s="103">
        <v>51470821</v>
      </c>
    </row>
    <row r="29" spans="1:5" s="178" customFormat="1" ht="12" customHeight="1" thickBot="1">
      <c r="A29" s="14" t="s">
        <v>113</v>
      </c>
      <c r="B29" s="436" t="s">
        <v>176</v>
      </c>
      <c r="C29" s="169">
        <v>752806331</v>
      </c>
      <c r="D29" s="169"/>
      <c r="E29" s="105">
        <v>33204317</v>
      </c>
    </row>
    <row r="30" spans="1:5" s="178" customFormat="1" ht="12" customHeight="1" thickBot="1">
      <c r="A30" s="25" t="s">
        <v>114</v>
      </c>
      <c r="B30" s="19" t="s">
        <v>534</v>
      </c>
      <c r="C30" s="172">
        <f>SUM(C31:C36)</f>
        <v>54415229</v>
      </c>
      <c r="D30" s="172">
        <f>SUM(D31:D36)</f>
        <v>53230155</v>
      </c>
      <c r="E30" s="208">
        <f>SUM(E31:E36)</f>
        <v>58430424</v>
      </c>
    </row>
    <row r="31" spans="1:5" s="178" customFormat="1" ht="12" customHeight="1">
      <c r="A31" s="196" t="s">
        <v>177</v>
      </c>
      <c r="B31" s="179" t="s">
        <v>899</v>
      </c>
      <c r="C31" s="168">
        <v>11004183</v>
      </c>
      <c r="D31" s="168">
        <v>13800000</v>
      </c>
      <c r="E31" s="104">
        <v>11287289</v>
      </c>
    </row>
    <row r="32" spans="1:5" s="178" customFormat="1" ht="12" customHeight="1">
      <c r="A32" s="197" t="s">
        <v>178</v>
      </c>
      <c r="B32" s="180" t="s">
        <v>181</v>
      </c>
      <c r="C32" s="167">
        <v>6891667</v>
      </c>
      <c r="D32" s="167">
        <v>7724802</v>
      </c>
      <c r="E32" s="103">
        <v>7724802</v>
      </c>
    </row>
    <row r="33" spans="1:5" s="178" customFormat="1" ht="12" customHeight="1">
      <c r="A33" s="197" t="s">
        <v>179</v>
      </c>
      <c r="B33" s="180" t="s">
        <v>490</v>
      </c>
      <c r="C33" s="167">
        <v>34397675</v>
      </c>
      <c r="D33" s="167">
        <v>29705353</v>
      </c>
      <c r="E33" s="103">
        <v>38556174</v>
      </c>
    </row>
    <row r="34" spans="1:5" s="178" customFormat="1" ht="12" customHeight="1">
      <c r="A34" s="197" t="s">
        <v>492</v>
      </c>
      <c r="B34" s="180" t="s">
        <v>491</v>
      </c>
      <c r="C34" s="167"/>
      <c r="D34" s="167">
        <v>650000</v>
      </c>
      <c r="E34" s="103"/>
    </row>
    <row r="35" spans="1:5" s="178" customFormat="1" ht="12" customHeight="1">
      <c r="A35" s="197" t="s">
        <v>493</v>
      </c>
      <c r="B35" s="180" t="s">
        <v>182</v>
      </c>
      <c r="C35" s="167">
        <v>907625</v>
      </c>
      <c r="D35" s="167"/>
      <c r="E35" s="103"/>
    </row>
    <row r="36" spans="1:5" s="178" customFormat="1" ht="12" customHeight="1" thickBot="1">
      <c r="A36" s="198" t="s">
        <v>494</v>
      </c>
      <c r="B36" s="111" t="s">
        <v>183</v>
      </c>
      <c r="C36" s="169">
        <v>1214079</v>
      </c>
      <c r="D36" s="169">
        <v>1350000</v>
      </c>
      <c r="E36" s="105">
        <v>862159</v>
      </c>
    </row>
    <row r="37" spans="1:5" s="178" customFormat="1" ht="12" customHeight="1" thickBot="1">
      <c r="A37" s="18" t="s">
        <v>10</v>
      </c>
      <c r="B37" s="432" t="s">
        <v>535</v>
      </c>
      <c r="C37" s="166">
        <f>SUM(C38:C47)</f>
        <v>65987492</v>
      </c>
      <c r="D37" s="166">
        <f>SUM(D38:D47)</f>
        <v>63487592</v>
      </c>
      <c r="E37" s="102">
        <f>SUM(E38:E47)</f>
        <v>65058634</v>
      </c>
    </row>
    <row r="38" spans="1:5" s="178" customFormat="1" ht="12" customHeight="1">
      <c r="A38" s="13" t="s">
        <v>57</v>
      </c>
      <c r="B38" s="433" t="s">
        <v>186</v>
      </c>
      <c r="C38" s="168">
        <v>5669850</v>
      </c>
      <c r="D38" s="168">
        <v>3848986</v>
      </c>
      <c r="E38" s="104">
        <v>3976439</v>
      </c>
    </row>
    <row r="39" spans="1:5" s="178" customFormat="1" ht="12" customHeight="1">
      <c r="A39" s="12" t="s">
        <v>58</v>
      </c>
      <c r="B39" s="434" t="s">
        <v>187</v>
      </c>
      <c r="C39" s="167">
        <v>18516600</v>
      </c>
      <c r="D39" s="167">
        <v>14498276</v>
      </c>
      <c r="E39" s="103">
        <v>15821418</v>
      </c>
    </row>
    <row r="40" spans="1:5" s="178" customFormat="1" ht="12" customHeight="1">
      <c r="A40" s="12" t="s">
        <v>59</v>
      </c>
      <c r="B40" s="434" t="s">
        <v>188</v>
      </c>
      <c r="C40" s="167">
        <v>977600</v>
      </c>
      <c r="D40" s="167">
        <v>540043</v>
      </c>
      <c r="E40" s="103">
        <v>540043</v>
      </c>
    </row>
    <row r="41" spans="1:5" s="178" customFormat="1" ht="12" customHeight="1">
      <c r="A41" s="12" t="s">
        <v>116</v>
      </c>
      <c r="B41" s="434" t="s">
        <v>189</v>
      </c>
      <c r="C41" s="167"/>
      <c r="D41" s="167"/>
      <c r="E41" s="103"/>
    </row>
    <row r="42" spans="1:5" s="178" customFormat="1" ht="12" customHeight="1">
      <c r="A42" s="12" t="s">
        <v>117</v>
      </c>
      <c r="B42" s="434" t="s">
        <v>190</v>
      </c>
      <c r="C42" s="167">
        <v>20247210</v>
      </c>
      <c r="D42" s="167">
        <v>25496941</v>
      </c>
      <c r="E42" s="103">
        <v>14933005</v>
      </c>
    </row>
    <row r="43" spans="1:5" s="178" customFormat="1" ht="12" customHeight="1">
      <c r="A43" s="12" t="s">
        <v>118</v>
      </c>
      <c r="B43" s="434" t="s">
        <v>191</v>
      </c>
      <c r="C43" s="167">
        <v>14090728</v>
      </c>
      <c r="D43" s="167">
        <v>10161076</v>
      </c>
      <c r="E43" s="103">
        <v>11060047</v>
      </c>
    </row>
    <row r="44" spans="1:5" s="178" customFormat="1" ht="12" customHeight="1">
      <c r="A44" s="12" t="s">
        <v>119</v>
      </c>
      <c r="B44" s="434" t="s">
        <v>192</v>
      </c>
      <c r="C44" s="167"/>
      <c r="D44" s="167"/>
      <c r="E44" s="103"/>
    </row>
    <row r="45" spans="1:5" s="178" customFormat="1" ht="12" customHeight="1">
      <c r="A45" s="12" t="s">
        <v>120</v>
      </c>
      <c r="B45" s="434" t="s">
        <v>193</v>
      </c>
      <c r="C45" s="167">
        <v>411698</v>
      </c>
      <c r="D45" s="167">
        <v>233719</v>
      </c>
      <c r="E45" s="103">
        <v>2441887</v>
      </c>
    </row>
    <row r="46" spans="1:5" s="178" customFormat="1" ht="12" customHeight="1">
      <c r="A46" s="12" t="s">
        <v>184</v>
      </c>
      <c r="B46" s="434" t="s">
        <v>194</v>
      </c>
      <c r="C46" s="170"/>
      <c r="D46" s="170"/>
      <c r="E46" s="106"/>
    </row>
    <row r="47" spans="1:5" s="178" customFormat="1" ht="12" customHeight="1" thickBot="1">
      <c r="A47" s="14" t="s">
        <v>185</v>
      </c>
      <c r="B47" s="436" t="s">
        <v>195</v>
      </c>
      <c r="C47" s="171">
        <v>6073806</v>
      </c>
      <c r="D47" s="171">
        <v>8708551</v>
      </c>
      <c r="E47" s="107">
        <v>16285795</v>
      </c>
    </row>
    <row r="48" spans="1:5" s="178" customFormat="1" ht="12" customHeight="1" thickBot="1">
      <c r="A48" s="18" t="s">
        <v>11</v>
      </c>
      <c r="B48" s="432" t="s">
        <v>196</v>
      </c>
      <c r="C48" s="166">
        <f>SUM(C49:C53)</f>
        <v>260000</v>
      </c>
      <c r="D48" s="166">
        <f>SUM(D49:D53)</f>
        <v>23494885</v>
      </c>
      <c r="E48" s="102">
        <f>SUM(E49:E53)</f>
        <v>0</v>
      </c>
    </row>
    <row r="49" spans="1:5" s="178" customFormat="1" ht="12" customHeight="1">
      <c r="A49" s="13" t="s">
        <v>60</v>
      </c>
      <c r="B49" s="433" t="s">
        <v>200</v>
      </c>
      <c r="C49" s="219"/>
      <c r="D49" s="219"/>
      <c r="E49" s="108"/>
    </row>
    <row r="50" spans="1:5" s="178" customFormat="1" ht="12" customHeight="1">
      <c r="A50" s="12" t="s">
        <v>61</v>
      </c>
      <c r="B50" s="434" t="s">
        <v>201</v>
      </c>
      <c r="C50" s="170">
        <v>260000</v>
      </c>
      <c r="D50" s="170">
        <v>23494885</v>
      </c>
      <c r="E50" s="106"/>
    </row>
    <row r="51" spans="1:5" s="178" customFormat="1" ht="12" customHeight="1">
      <c r="A51" s="12" t="s">
        <v>197</v>
      </c>
      <c r="B51" s="434" t="s">
        <v>202</v>
      </c>
      <c r="C51" s="170"/>
      <c r="D51" s="170"/>
      <c r="E51" s="106"/>
    </row>
    <row r="52" spans="1:5" s="178" customFormat="1" ht="12" customHeight="1">
      <c r="A52" s="12" t="s">
        <v>198</v>
      </c>
      <c r="B52" s="434" t="s">
        <v>203</v>
      </c>
      <c r="C52" s="170"/>
      <c r="D52" s="170"/>
      <c r="E52" s="106"/>
    </row>
    <row r="53" spans="1:5" s="178" customFormat="1" ht="12" customHeight="1" thickBot="1">
      <c r="A53" s="14" t="s">
        <v>199</v>
      </c>
      <c r="B53" s="436" t="s">
        <v>204</v>
      </c>
      <c r="C53" s="171"/>
      <c r="D53" s="171"/>
      <c r="E53" s="107"/>
    </row>
    <row r="54" spans="1:5" s="178" customFormat="1" ht="13.5" thickBot="1">
      <c r="A54" s="18" t="s">
        <v>121</v>
      </c>
      <c r="B54" s="432" t="s">
        <v>205</v>
      </c>
      <c r="C54" s="166">
        <f>SUM(C55:C57)</f>
        <v>3660720</v>
      </c>
      <c r="D54" s="166">
        <f>SUM(D55:D57)</f>
        <v>2227930</v>
      </c>
      <c r="E54" s="102">
        <f>SUM(E55:E57)</f>
        <v>9926388</v>
      </c>
    </row>
    <row r="55" spans="1:5" s="178" customFormat="1" ht="12.75">
      <c r="A55" s="13" t="s">
        <v>62</v>
      </c>
      <c r="B55" s="433" t="s">
        <v>206</v>
      </c>
      <c r="C55" s="168"/>
      <c r="D55" s="168"/>
      <c r="E55" s="104"/>
    </row>
    <row r="56" spans="1:5" s="178" customFormat="1" ht="14.25" customHeight="1">
      <c r="A56" s="12" t="s">
        <v>63</v>
      </c>
      <c r="B56" s="434" t="s">
        <v>536</v>
      </c>
      <c r="C56" s="167">
        <v>3660720</v>
      </c>
      <c r="D56" s="167">
        <v>2007930</v>
      </c>
      <c r="E56" s="103">
        <v>2109155</v>
      </c>
    </row>
    <row r="57" spans="1:5" s="178" customFormat="1" ht="12.75">
      <c r="A57" s="12" t="s">
        <v>209</v>
      </c>
      <c r="B57" s="434" t="s">
        <v>207</v>
      </c>
      <c r="C57" s="167"/>
      <c r="D57" s="167">
        <v>220000</v>
      </c>
      <c r="E57" s="103">
        <v>7817233</v>
      </c>
    </row>
    <row r="58" spans="1:5" s="178" customFormat="1" ht="13.5" thickBot="1">
      <c r="A58" s="14" t="s">
        <v>210</v>
      </c>
      <c r="B58" s="436" t="s">
        <v>208</v>
      </c>
      <c r="C58" s="169"/>
      <c r="D58" s="169"/>
      <c r="E58" s="105"/>
    </row>
    <row r="59" spans="1:5" s="178" customFormat="1" ht="13.5" thickBot="1">
      <c r="A59" s="18" t="s">
        <v>13</v>
      </c>
      <c r="B59" s="438" t="s">
        <v>211</v>
      </c>
      <c r="C59" s="166">
        <f>SUM(C60:C62)</f>
        <v>0</v>
      </c>
      <c r="D59" s="166">
        <f>SUM(D60:D62)</f>
        <v>0</v>
      </c>
      <c r="E59" s="102">
        <f>SUM(E60:E62)</f>
        <v>3752010</v>
      </c>
    </row>
    <row r="60" spans="1:5" s="178" customFormat="1" ht="12.75">
      <c r="A60" s="12" t="s">
        <v>122</v>
      </c>
      <c r="B60" s="433" t="s">
        <v>213</v>
      </c>
      <c r="C60" s="170"/>
      <c r="D60" s="170"/>
      <c r="E60" s="106"/>
    </row>
    <row r="61" spans="1:5" s="178" customFormat="1" ht="12.75" customHeight="1">
      <c r="A61" s="12" t="s">
        <v>123</v>
      </c>
      <c r="B61" s="434" t="s">
        <v>537</v>
      </c>
      <c r="C61" s="170"/>
      <c r="D61" s="170"/>
      <c r="E61" s="106"/>
    </row>
    <row r="62" spans="1:5" s="178" customFormat="1" ht="12.75">
      <c r="A62" s="12" t="s">
        <v>146</v>
      </c>
      <c r="B62" s="434" t="s">
        <v>214</v>
      </c>
      <c r="C62" s="170"/>
      <c r="D62" s="170"/>
      <c r="E62" s="106">
        <v>3752010</v>
      </c>
    </row>
    <row r="63" spans="1:5" s="178" customFormat="1" ht="13.5" thickBot="1">
      <c r="A63" s="12" t="s">
        <v>212</v>
      </c>
      <c r="B63" s="436" t="s">
        <v>215</v>
      </c>
      <c r="C63" s="170"/>
      <c r="D63" s="170"/>
      <c r="E63" s="106"/>
    </row>
    <row r="64" spans="1:5" s="178" customFormat="1" ht="13.5" thickBot="1">
      <c r="A64" s="18" t="s">
        <v>14</v>
      </c>
      <c r="B64" s="432" t="s">
        <v>216</v>
      </c>
      <c r="C64" s="172">
        <f>+C9+C16+C23+C30+C37+C48+C54+C59</f>
        <v>1305569827</v>
      </c>
      <c r="D64" s="172">
        <f>+D9+D16+D23+D30+D37+D48+D54+D59</f>
        <v>618111990</v>
      </c>
      <c r="E64" s="208">
        <f>+E9+E16+E23+E30+E37+E48+E54+E59</f>
        <v>670082864</v>
      </c>
    </row>
    <row r="65" spans="1:5" s="178" customFormat="1" ht="13.5" thickBot="1">
      <c r="A65" s="220" t="s">
        <v>217</v>
      </c>
      <c r="B65" s="438" t="s">
        <v>538</v>
      </c>
      <c r="C65" s="166">
        <f>SUM(C66:C68)</f>
        <v>0</v>
      </c>
      <c r="D65" s="166">
        <f>SUM(D66:D68)</f>
        <v>0</v>
      </c>
      <c r="E65" s="102">
        <f>SUM(E66:E68)</f>
        <v>0</v>
      </c>
    </row>
    <row r="66" spans="1:5" s="178" customFormat="1" ht="12.75">
      <c r="A66" s="12" t="s">
        <v>246</v>
      </c>
      <c r="B66" s="433" t="s">
        <v>219</v>
      </c>
      <c r="C66" s="170"/>
      <c r="D66" s="170"/>
      <c r="E66" s="106"/>
    </row>
    <row r="67" spans="1:5" s="178" customFormat="1" ht="12.75">
      <c r="A67" s="12" t="s">
        <v>255</v>
      </c>
      <c r="B67" s="434" t="s">
        <v>220</v>
      </c>
      <c r="C67" s="170"/>
      <c r="D67" s="170"/>
      <c r="E67" s="106"/>
    </row>
    <row r="68" spans="1:5" s="178" customFormat="1" ht="13.5" thickBot="1">
      <c r="A68" s="12" t="s">
        <v>256</v>
      </c>
      <c r="B68" s="229" t="s">
        <v>365</v>
      </c>
      <c r="C68" s="170"/>
      <c r="D68" s="170"/>
      <c r="E68" s="106"/>
    </row>
    <row r="69" spans="1:5" s="178" customFormat="1" ht="13.5" thickBot="1">
      <c r="A69" s="220" t="s">
        <v>222</v>
      </c>
      <c r="B69" s="438" t="s">
        <v>223</v>
      </c>
      <c r="C69" s="166">
        <f>SUM(C70:C73)</f>
        <v>0</v>
      </c>
      <c r="D69" s="166">
        <f>SUM(D70:D73)</f>
        <v>0</v>
      </c>
      <c r="E69" s="102">
        <f>SUM(E70:E73)</f>
        <v>0</v>
      </c>
    </row>
    <row r="70" spans="1:5" s="178" customFormat="1" ht="12.75">
      <c r="A70" s="12" t="s">
        <v>100</v>
      </c>
      <c r="B70" s="439" t="s">
        <v>224</v>
      </c>
      <c r="C70" s="170"/>
      <c r="D70" s="170"/>
      <c r="E70" s="106"/>
    </row>
    <row r="71" spans="1:5" s="178" customFormat="1" ht="12.75">
      <c r="A71" s="12" t="s">
        <v>101</v>
      </c>
      <c r="B71" s="439" t="s">
        <v>502</v>
      </c>
      <c r="C71" s="170"/>
      <c r="D71" s="170"/>
      <c r="E71" s="106"/>
    </row>
    <row r="72" spans="1:5" s="178" customFormat="1" ht="12" customHeight="1">
      <c r="A72" s="12" t="s">
        <v>247</v>
      </c>
      <c r="B72" s="439" t="s">
        <v>225</v>
      </c>
      <c r="C72" s="170"/>
      <c r="D72" s="170"/>
      <c r="E72" s="106"/>
    </row>
    <row r="73" spans="1:5" s="178" customFormat="1" ht="12" customHeight="1" thickBot="1">
      <c r="A73" s="12" t="s">
        <v>248</v>
      </c>
      <c r="B73" s="440" t="s">
        <v>503</v>
      </c>
      <c r="C73" s="170"/>
      <c r="D73" s="170"/>
      <c r="E73" s="106"/>
    </row>
    <row r="74" spans="1:5" s="178" customFormat="1" ht="12" customHeight="1" thickBot="1">
      <c r="A74" s="220" t="s">
        <v>226</v>
      </c>
      <c r="B74" s="438" t="s">
        <v>227</v>
      </c>
      <c r="C74" s="166">
        <f>SUM(C75:C76)</f>
        <v>35974252</v>
      </c>
      <c r="D74" s="166">
        <f>SUM(D75:D76)</f>
        <v>261853286</v>
      </c>
      <c r="E74" s="102">
        <f>SUM(E75:E76)</f>
        <v>794759738</v>
      </c>
    </row>
    <row r="75" spans="1:5" s="178" customFormat="1" ht="12" customHeight="1">
      <c r="A75" s="12" t="s">
        <v>249</v>
      </c>
      <c r="B75" s="433" t="s">
        <v>228</v>
      </c>
      <c r="C75" s="170">
        <v>35974252</v>
      </c>
      <c r="D75" s="170">
        <v>261853286</v>
      </c>
      <c r="E75" s="106">
        <v>494759738</v>
      </c>
    </row>
    <row r="76" spans="1:5" s="178" customFormat="1" ht="12" customHeight="1" thickBot="1">
      <c r="A76" s="12" t="s">
        <v>250</v>
      </c>
      <c r="B76" s="436" t="s">
        <v>504</v>
      </c>
      <c r="C76" s="170"/>
      <c r="D76" s="170"/>
      <c r="E76" s="106">
        <v>300000000</v>
      </c>
    </row>
    <row r="77" spans="1:5" s="178" customFormat="1" ht="12" customHeight="1" thickBot="1">
      <c r="A77" s="220" t="s">
        <v>230</v>
      </c>
      <c r="B77" s="438" t="s">
        <v>231</v>
      </c>
      <c r="C77" s="166">
        <f>SUM(C78:C80)</f>
        <v>9591767</v>
      </c>
      <c r="D77" s="166">
        <f>SUM(D78:D80)</f>
        <v>166008794</v>
      </c>
      <c r="E77" s="102">
        <f>SUM(E78:E80)</f>
        <v>173324365</v>
      </c>
    </row>
    <row r="78" spans="1:5" s="178" customFormat="1" ht="12" customHeight="1">
      <c r="A78" s="12" t="s">
        <v>251</v>
      </c>
      <c r="B78" s="433" t="s">
        <v>232</v>
      </c>
      <c r="C78" s="170">
        <v>9591767</v>
      </c>
      <c r="D78" s="170"/>
      <c r="E78" s="106">
        <v>9902825</v>
      </c>
    </row>
    <row r="79" spans="1:5" s="178" customFormat="1" ht="12" customHeight="1">
      <c r="A79" s="12" t="s">
        <v>252</v>
      </c>
      <c r="B79" s="434" t="s">
        <v>233</v>
      </c>
      <c r="C79" s="170"/>
      <c r="D79" s="170"/>
      <c r="E79" s="106"/>
    </row>
    <row r="80" spans="1:5" s="178" customFormat="1" ht="12" customHeight="1" thickBot="1">
      <c r="A80" s="12" t="s">
        <v>253</v>
      </c>
      <c r="B80" s="441" t="s">
        <v>900</v>
      </c>
      <c r="C80" s="170"/>
      <c r="D80" s="170">
        <v>166008794</v>
      </c>
      <c r="E80" s="106">
        <v>163421540</v>
      </c>
    </row>
    <row r="81" spans="1:5" s="178" customFormat="1" ht="12" customHeight="1" thickBot="1">
      <c r="A81" s="220" t="s">
        <v>234</v>
      </c>
      <c r="B81" s="438" t="s">
        <v>254</v>
      </c>
      <c r="C81" s="166">
        <f>SUM(C82:C85)</f>
        <v>0</v>
      </c>
      <c r="D81" s="166">
        <f>SUM(D82:D85)</f>
        <v>0</v>
      </c>
      <c r="E81" s="102">
        <f>SUM(E82:E85)</f>
        <v>0</v>
      </c>
    </row>
    <row r="82" spans="1:5" s="178" customFormat="1" ht="12" customHeight="1">
      <c r="A82" s="442" t="s">
        <v>235</v>
      </c>
      <c r="B82" s="433" t="s">
        <v>236</v>
      </c>
      <c r="C82" s="170"/>
      <c r="D82" s="170"/>
      <c r="E82" s="106"/>
    </row>
    <row r="83" spans="1:5" s="178" customFormat="1" ht="12" customHeight="1">
      <c r="A83" s="443" t="s">
        <v>237</v>
      </c>
      <c r="B83" s="434" t="s">
        <v>238</v>
      </c>
      <c r="C83" s="170"/>
      <c r="D83" s="170"/>
      <c r="E83" s="106"/>
    </row>
    <row r="84" spans="1:5" s="178" customFormat="1" ht="12" customHeight="1">
      <c r="A84" s="443" t="s">
        <v>239</v>
      </c>
      <c r="B84" s="434" t="s">
        <v>240</v>
      </c>
      <c r="C84" s="170"/>
      <c r="D84" s="170"/>
      <c r="E84" s="106"/>
    </row>
    <row r="85" spans="1:5" s="178" customFormat="1" ht="12" customHeight="1" thickBot="1">
      <c r="A85" s="444" t="s">
        <v>241</v>
      </c>
      <c r="B85" s="436" t="s">
        <v>242</v>
      </c>
      <c r="C85" s="170"/>
      <c r="D85" s="170"/>
      <c r="E85" s="106"/>
    </row>
    <row r="86" spans="1:5" s="178" customFormat="1" ht="12" customHeight="1" thickBot="1">
      <c r="A86" s="220" t="s">
        <v>243</v>
      </c>
      <c r="B86" s="438" t="s">
        <v>244</v>
      </c>
      <c r="C86" s="222"/>
      <c r="D86" s="222"/>
      <c r="E86" s="223"/>
    </row>
    <row r="87" spans="1:5" s="178" customFormat="1" ht="13.5" customHeight="1" thickBot="1">
      <c r="A87" s="220" t="s">
        <v>245</v>
      </c>
      <c r="B87" s="445" t="s">
        <v>539</v>
      </c>
      <c r="C87" s="172">
        <f>+C65+C69+C74+C77+C81+C86</f>
        <v>45566019</v>
      </c>
      <c r="D87" s="172">
        <f>+D65+D69+D74+D77+D81+D86</f>
        <v>427862080</v>
      </c>
      <c r="E87" s="208">
        <f>+E65+E69+E74+E77+E81+E86</f>
        <v>968084103</v>
      </c>
    </row>
    <row r="88" spans="1:5" s="178" customFormat="1" ht="12" customHeight="1" thickBot="1">
      <c r="A88" s="221" t="s">
        <v>257</v>
      </c>
      <c r="B88" s="446" t="s">
        <v>540</v>
      </c>
      <c r="C88" s="172">
        <f>+C64+C87</f>
        <v>1351135846</v>
      </c>
      <c r="D88" s="172">
        <f>+D64+D87</f>
        <v>1045974070</v>
      </c>
      <c r="E88" s="208">
        <f>+E64+E87</f>
        <v>1638166967</v>
      </c>
    </row>
    <row r="89" spans="1:5" ht="16.5" customHeight="1">
      <c r="A89" s="810" t="s">
        <v>34</v>
      </c>
      <c r="B89" s="810"/>
      <c r="C89" s="810"/>
      <c r="D89" s="810"/>
      <c r="E89" s="810"/>
    </row>
    <row r="90" spans="1:5" s="188" customFormat="1" ht="16.5" customHeight="1" thickBot="1">
      <c r="A90" s="447" t="s">
        <v>103</v>
      </c>
      <c r="B90" s="447"/>
      <c r="C90" s="447"/>
      <c r="D90" s="60"/>
      <c r="E90" s="60" t="str">
        <f>E5</f>
        <v>Forintban</v>
      </c>
    </row>
    <row r="91" spans="1:5" s="188" customFormat="1" ht="16.5" customHeight="1">
      <c r="A91" s="884" t="s">
        <v>52</v>
      </c>
      <c r="B91" s="806" t="s">
        <v>423</v>
      </c>
      <c r="C91" s="803" t="str">
        <f>+C6</f>
        <v>2017. évi tény</v>
      </c>
      <c r="D91" s="887" t="str">
        <f>+D6</f>
        <v>2018. évi</v>
      </c>
      <c r="E91" s="888"/>
    </row>
    <row r="92" spans="1:5" ht="37.5" customHeight="1" thickBot="1">
      <c r="A92" s="885"/>
      <c r="B92" s="886"/>
      <c r="C92" s="804"/>
      <c r="D92" s="249" t="s">
        <v>461</v>
      </c>
      <c r="E92" s="431" t="s">
        <v>449</v>
      </c>
    </row>
    <row r="93" spans="1:5" s="177" customFormat="1" ht="12" customHeight="1" thickBot="1">
      <c r="A93" s="25" t="s">
        <v>388</v>
      </c>
      <c r="B93" s="26" t="s">
        <v>389</v>
      </c>
      <c r="C93" s="26" t="s">
        <v>390</v>
      </c>
      <c r="D93" s="26" t="s">
        <v>391</v>
      </c>
      <c r="E93" s="448" t="s">
        <v>393</v>
      </c>
    </row>
    <row r="94" spans="1:5" ht="12" customHeight="1" thickBot="1">
      <c r="A94" s="20" t="s">
        <v>6</v>
      </c>
      <c r="B94" s="24" t="s">
        <v>541</v>
      </c>
      <c r="C94" s="165">
        <f>SUM(C95:C99)</f>
        <v>557078905</v>
      </c>
      <c r="D94" s="165">
        <f>+D95+D96+D97+D98+D99</f>
        <v>655690373</v>
      </c>
      <c r="E94" s="236">
        <f>+E95+E96+E97+E98+E99</f>
        <v>574568357</v>
      </c>
    </row>
    <row r="95" spans="1:5" ht="12" customHeight="1">
      <c r="A95" s="15" t="s">
        <v>64</v>
      </c>
      <c r="B95" s="449" t="s">
        <v>35</v>
      </c>
      <c r="C95" s="243">
        <v>259813078</v>
      </c>
      <c r="D95" s="243">
        <v>279668543</v>
      </c>
      <c r="E95" s="237">
        <v>276268852</v>
      </c>
    </row>
    <row r="96" spans="1:5" ht="12" customHeight="1">
      <c r="A96" s="12" t="s">
        <v>65</v>
      </c>
      <c r="B96" s="450" t="s">
        <v>124</v>
      </c>
      <c r="C96" s="167">
        <v>46756430</v>
      </c>
      <c r="D96" s="167">
        <v>53369340</v>
      </c>
      <c r="E96" s="103">
        <v>45547802</v>
      </c>
    </row>
    <row r="97" spans="1:5" ht="12" customHeight="1">
      <c r="A97" s="12" t="s">
        <v>66</v>
      </c>
      <c r="B97" s="450" t="s">
        <v>92</v>
      </c>
      <c r="C97" s="169">
        <v>186126245</v>
      </c>
      <c r="D97" s="169">
        <v>255004533</v>
      </c>
      <c r="E97" s="105">
        <v>199906355</v>
      </c>
    </row>
    <row r="98" spans="1:5" ht="12" customHeight="1">
      <c r="A98" s="12" t="s">
        <v>67</v>
      </c>
      <c r="B98" s="451" t="s">
        <v>125</v>
      </c>
      <c r="C98" s="169">
        <v>20508570</v>
      </c>
      <c r="D98" s="169">
        <v>45650312</v>
      </c>
      <c r="E98" s="105">
        <v>32220008</v>
      </c>
    </row>
    <row r="99" spans="1:5" ht="12" customHeight="1">
      <c r="A99" s="12" t="s">
        <v>76</v>
      </c>
      <c r="B99" s="452" t="s">
        <v>126</v>
      </c>
      <c r="C99" s="169">
        <f>SUM(C100:C109)</f>
        <v>43874582</v>
      </c>
      <c r="D99" s="169">
        <f>SUM(D100:D109)</f>
        <v>21997645</v>
      </c>
      <c r="E99" s="169">
        <f>SUM(E100:E109)</f>
        <v>20625340</v>
      </c>
    </row>
    <row r="100" spans="1:5" ht="12" customHeight="1">
      <c r="A100" s="12" t="s">
        <v>68</v>
      </c>
      <c r="B100" s="450" t="s">
        <v>542</v>
      </c>
      <c r="C100" s="169">
        <v>333584</v>
      </c>
      <c r="D100" s="169">
        <v>933081</v>
      </c>
      <c r="E100" s="105">
        <v>933081</v>
      </c>
    </row>
    <row r="101" spans="1:5" ht="12" customHeight="1">
      <c r="A101" s="12" t="s">
        <v>69</v>
      </c>
      <c r="B101" s="453" t="s">
        <v>260</v>
      </c>
      <c r="C101" s="169"/>
      <c r="D101" s="169"/>
      <c r="E101" s="105"/>
    </row>
    <row r="102" spans="1:5" ht="12" customHeight="1">
      <c r="A102" s="12" t="s">
        <v>77</v>
      </c>
      <c r="B102" s="450" t="s">
        <v>261</v>
      </c>
      <c r="C102" s="169"/>
      <c r="D102" s="169"/>
      <c r="E102" s="105"/>
    </row>
    <row r="103" spans="1:5" ht="12" customHeight="1">
      <c r="A103" s="12" t="s">
        <v>78</v>
      </c>
      <c r="B103" s="450" t="s">
        <v>262</v>
      </c>
      <c r="C103" s="169"/>
      <c r="D103" s="169"/>
      <c r="E103" s="105"/>
    </row>
    <row r="104" spans="1:5" ht="12" customHeight="1">
      <c r="A104" s="12" t="s">
        <v>79</v>
      </c>
      <c r="B104" s="453" t="s">
        <v>263</v>
      </c>
      <c r="C104" s="169">
        <v>14102990</v>
      </c>
      <c r="D104" s="169">
        <v>1162305</v>
      </c>
      <c r="E104" s="105"/>
    </row>
    <row r="105" spans="1:5" ht="12" customHeight="1">
      <c r="A105" s="12" t="s">
        <v>80</v>
      </c>
      <c r="B105" s="453" t="s">
        <v>264</v>
      </c>
      <c r="C105" s="169"/>
      <c r="D105" s="169"/>
      <c r="E105" s="105"/>
    </row>
    <row r="106" spans="1:5" ht="12" customHeight="1">
      <c r="A106" s="12" t="s">
        <v>82</v>
      </c>
      <c r="B106" s="450" t="s">
        <v>265</v>
      </c>
      <c r="C106" s="169">
        <v>14033088</v>
      </c>
      <c r="D106" s="169">
        <v>5040000</v>
      </c>
      <c r="E106" s="105">
        <v>4830000</v>
      </c>
    </row>
    <row r="107" spans="1:5" ht="12" customHeight="1">
      <c r="A107" s="11" t="s">
        <v>127</v>
      </c>
      <c r="B107" s="454" t="s">
        <v>266</v>
      </c>
      <c r="C107" s="169"/>
      <c r="D107" s="169"/>
      <c r="E107" s="105"/>
    </row>
    <row r="108" spans="1:5" ht="12" customHeight="1">
      <c r="A108" s="12" t="s">
        <v>258</v>
      </c>
      <c r="B108" s="454" t="s">
        <v>267</v>
      </c>
      <c r="C108" s="169"/>
      <c r="D108" s="169"/>
      <c r="E108" s="105"/>
    </row>
    <row r="109" spans="1:5" ht="12" customHeight="1" thickBot="1">
      <c r="A109" s="16" t="s">
        <v>259</v>
      </c>
      <c r="B109" s="455" t="s">
        <v>268</v>
      </c>
      <c r="C109" s="244">
        <v>15404920</v>
      </c>
      <c r="D109" s="244">
        <v>14862259</v>
      </c>
      <c r="E109" s="238">
        <v>14862259</v>
      </c>
    </row>
    <row r="110" spans="1:5" ht="12" customHeight="1" thickBot="1">
      <c r="A110" s="18" t="s">
        <v>7</v>
      </c>
      <c r="B110" s="23" t="s">
        <v>543</v>
      </c>
      <c r="C110" s="166">
        <f>+C111+C113+C115</f>
        <v>289918473</v>
      </c>
      <c r="D110" s="166">
        <f>+D111+D113+D115</f>
        <v>186668446</v>
      </c>
      <c r="E110" s="102">
        <f>+E111+E113+E115</f>
        <v>176300688</v>
      </c>
    </row>
    <row r="111" spans="1:5" ht="12" customHeight="1">
      <c r="A111" s="13" t="s">
        <v>70</v>
      </c>
      <c r="B111" s="450" t="s">
        <v>145</v>
      </c>
      <c r="C111" s="168">
        <v>289918473</v>
      </c>
      <c r="D111" s="168">
        <v>57892988</v>
      </c>
      <c r="E111" s="104">
        <v>54091064</v>
      </c>
    </row>
    <row r="112" spans="1:5" ht="12" customHeight="1">
      <c r="A112" s="13" t="s">
        <v>71</v>
      </c>
      <c r="B112" s="454" t="s">
        <v>273</v>
      </c>
      <c r="C112" s="168">
        <v>218733875</v>
      </c>
      <c r="D112" s="168"/>
      <c r="E112" s="104">
        <v>32745947</v>
      </c>
    </row>
    <row r="113" spans="1:5" ht="15.75">
      <c r="A113" s="13" t="s">
        <v>72</v>
      </c>
      <c r="B113" s="454" t="s">
        <v>128</v>
      </c>
      <c r="C113" s="167"/>
      <c r="D113" s="167">
        <v>125940524</v>
      </c>
      <c r="E113" s="103">
        <v>122209624</v>
      </c>
    </row>
    <row r="114" spans="1:5" ht="12" customHeight="1">
      <c r="A114" s="13" t="s">
        <v>73</v>
      </c>
      <c r="B114" s="454" t="s">
        <v>274</v>
      </c>
      <c r="C114" s="167"/>
      <c r="D114" s="167"/>
      <c r="E114" s="103">
        <v>109270800</v>
      </c>
    </row>
    <row r="115" spans="1:5" ht="12" customHeight="1">
      <c r="A115" s="13" t="s">
        <v>74</v>
      </c>
      <c r="B115" s="436" t="s">
        <v>147</v>
      </c>
      <c r="C115" s="167"/>
      <c r="D115" s="167">
        <v>2834934</v>
      </c>
      <c r="E115" s="103"/>
    </row>
    <row r="116" spans="1:5" ht="15.75">
      <c r="A116" s="13" t="s">
        <v>81</v>
      </c>
      <c r="B116" s="434" t="s">
        <v>334</v>
      </c>
      <c r="C116" s="167"/>
      <c r="D116" s="167"/>
      <c r="E116" s="103"/>
    </row>
    <row r="117" spans="1:5" ht="15.75">
      <c r="A117" s="13" t="s">
        <v>83</v>
      </c>
      <c r="B117" s="456" t="s">
        <v>279</v>
      </c>
      <c r="C117" s="167"/>
      <c r="D117" s="167"/>
      <c r="E117" s="103"/>
    </row>
    <row r="118" spans="1:5" ht="12" customHeight="1">
      <c r="A118" s="13" t="s">
        <v>129</v>
      </c>
      <c r="B118" s="450" t="s">
        <v>262</v>
      </c>
      <c r="C118" s="167"/>
      <c r="D118" s="167"/>
      <c r="E118" s="103"/>
    </row>
    <row r="119" spans="1:5" ht="12" customHeight="1">
      <c r="A119" s="13" t="s">
        <v>130</v>
      </c>
      <c r="B119" s="450" t="s">
        <v>278</v>
      </c>
      <c r="C119" s="167"/>
      <c r="D119" s="167"/>
      <c r="E119" s="103"/>
    </row>
    <row r="120" spans="1:5" ht="12" customHeight="1">
      <c r="A120" s="13" t="s">
        <v>131</v>
      </c>
      <c r="B120" s="450" t="s">
        <v>277</v>
      </c>
      <c r="C120" s="167"/>
      <c r="D120" s="167"/>
      <c r="E120" s="103"/>
    </row>
    <row r="121" spans="1:5" s="457" customFormat="1" ht="12" customHeight="1">
      <c r="A121" s="13" t="s">
        <v>270</v>
      </c>
      <c r="B121" s="450" t="s">
        <v>265</v>
      </c>
      <c r="C121" s="167"/>
      <c r="D121" s="167"/>
      <c r="E121" s="103"/>
    </row>
    <row r="122" spans="1:5" ht="12" customHeight="1">
      <c r="A122" s="13" t="s">
        <v>271</v>
      </c>
      <c r="B122" s="450" t="s">
        <v>276</v>
      </c>
      <c r="C122" s="167"/>
      <c r="D122" s="167"/>
      <c r="E122" s="103"/>
    </row>
    <row r="123" spans="1:5" ht="12" customHeight="1" thickBot="1">
      <c r="A123" s="11" t="s">
        <v>272</v>
      </c>
      <c r="B123" s="450" t="s">
        <v>275</v>
      </c>
      <c r="C123" s="169"/>
      <c r="D123" s="169"/>
      <c r="E123" s="105"/>
    </row>
    <row r="124" spans="1:5" ht="12" customHeight="1" thickBot="1">
      <c r="A124" s="18" t="s">
        <v>8</v>
      </c>
      <c r="B124" s="458" t="s">
        <v>544</v>
      </c>
      <c r="C124" s="166">
        <f>+C125+C126</f>
        <v>0</v>
      </c>
      <c r="D124" s="166">
        <f>+D125+D126</f>
        <v>0</v>
      </c>
      <c r="E124" s="102">
        <f>+E125+E126</f>
        <v>0</v>
      </c>
    </row>
    <row r="125" spans="1:5" ht="12" customHeight="1">
      <c r="A125" s="13" t="s">
        <v>53</v>
      </c>
      <c r="B125" s="456" t="s">
        <v>545</v>
      </c>
      <c r="C125" s="168"/>
      <c r="D125" s="168"/>
      <c r="E125" s="104"/>
    </row>
    <row r="126" spans="1:5" ht="12" customHeight="1" thickBot="1">
      <c r="A126" s="14" t="s">
        <v>54</v>
      </c>
      <c r="B126" s="454" t="s">
        <v>546</v>
      </c>
      <c r="C126" s="169"/>
      <c r="D126" s="169"/>
      <c r="E126" s="105"/>
    </row>
    <row r="127" spans="1:5" ht="12" customHeight="1" thickBot="1">
      <c r="A127" s="18" t="s">
        <v>9</v>
      </c>
      <c r="B127" s="458" t="s">
        <v>547</v>
      </c>
      <c r="C127" s="166">
        <f>+C94+C110+C124</f>
        <v>846997378</v>
      </c>
      <c r="D127" s="166">
        <f>+D94+D110+D124</f>
        <v>842358819</v>
      </c>
      <c r="E127" s="102">
        <f>+E94+E110+E124</f>
        <v>750869045</v>
      </c>
    </row>
    <row r="128" spans="1:5" ht="12" customHeight="1" thickBot="1">
      <c r="A128" s="18" t="s">
        <v>10</v>
      </c>
      <c r="B128" s="458" t="s">
        <v>548</v>
      </c>
      <c r="C128" s="166">
        <f>+C129+C130+C131</f>
        <v>0</v>
      </c>
      <c r="D128" s="166">
        <f>+D129+D130+D131</f>
        <v>0</v>
      </c>
      <c r="E128" s="102">
        <f>+E129+E130+E131</f>
        <v>0</v>
      </c>
    </row>
    <row r="129" spans="1:5" ht="12" customHeight="1">
      <c r="A129" s="13" t="s">
        <v>57</v>
      </c>
      <c r="B129" s="456" t="s">
        <v>407</v>
      </c>
      <c r="C129" s="167"/>
      <c r="D129" s="167"/>
      <c r="E129" s="103"/>
    </row>
    <row r="130" spans="1:5" ht="12" customHeight="1">
      <c r="A130" s="13" t="s">
        <v>58</v>
      </c>
      <c r="B130" s="456" t="s">
        <v>361</v>
      </c>
      <c r="C130" s="167"/>
      <c r="D130" s="167"/>
      <c r="E130" s="103"/>
    </row>
    <row r="131" spans="1:5" ht="12" customHeight="1" thickBot="1">
      <c r="A131" s="11" t="s">
        <v>59</v>
      </c>
      <c r="B131" s="459" t="s">
        <v>406</v>
      </c>
      <c r="C131" s="167"/>
      <c r="D131" s="167"/>
      <c r="E131" s="103"/>
    </row>
    <row r="132" spans="1:5" ht="12" customHeight="1" thickBot="1">
      <c r="A132" s="18" t="s">
        <v>11</v>
      </c>
      <c r="B132" s="458" t="s">
        <v>549</v>
      </c>
      <c r="C132" s="166">
        <f>+C133+C134+C135+C136</f>
        <v>0</v>
      </c>
      <c r="D132" s="166">
        <f>+D133+D134+D135+D136</f>
        <v>0</v>
      </c>
      <c r="E132" s="102">
        <f>+E133+E134+E135+E136</f>
        <v>0</v>
      </c>
    </row>
    <row r="133" spans="1:5" ht="12" customHeight="1">
      <c r="A133" s="13" t="s">
        <v>60</v>
      </c>
      <c r="B133" s="456" t="s">
        <v>363</v>
      </c>
      <c r="C133" s="167"/>
      <c r="D133" s="167"/>
      <c r="E133" s="103"/>
    </row>
    <row r="134" spans="1:5" ht="12" customHeight="1">
      <c r="A134" s="13" t="s">
        <v>61</v>
      </c>
      <c r="B134" s="456" t="s">
        <v>550</v>
      </c>
      <c r="C134" s="167"/>
      <c r="D134" s="167"/>
      <c r="E134" s="103"/>
    </row>
    <row r="135" spans="1:5" ht="12" customHeight="1">
      <c r="A135" s="13" t="s">
        <v>197</v>
      </c>
      <c r="B135" s="456" t="s">
        <v>355</v>
      </c>
      <c r="C135" s="167"/>
      <c r="D135" s="167"/>
      <c r="E135" s="103"/>
    </row>
    <row r="136" spans="1:5" ht="12" customHeight="1" thickBot="1">
      <c r="A136" s="11" t="s">
        <v>198</v>
      </c>
      <c r="B136" s="459" t="s">
        <v>551</v>
      </c>
      <c r="C136" s="167"/>
      <c r="D136" s="167"/>
      <c r="E136" s="103"/>
    </row>
    <row r="137" spans="1:5" ht="12" customHeight="1" thickBot="1">
      <c r="A137" s="18" t="s">
        <v>12</v>
      </c>
      <c r="B137" s="458" t="s">
        <v>552</v>
      </c>
      <c r="C137" s="172">
        <f>+C138+C139+C140+C141</f>
        <v>9378730</v>
      </c>
      <c r="D137" s="172">
        <f>+D138+D139+D140+D141</f>
        <v>203615251</v>
      </c>
      <c r="E137" s="208">
        <f>+E138+E139+E140+E141</f>
        <v>501027997</v>
      </c>
    </row>
    <row r="138" spans="1:5" ht="12" customHeight="1">
      <c r="A138" s="13" t="s">
        <v>62</v>
      </c>
      <c r="B138" s="456" t="s">
        <v>280</v>
      </c>
      <c r="C138" s="167"/>
      <c r="D138" s="167"/>
      <c r="E138" s="103"/>
    </row>
    <row r="139" spans="1:5" ht="12" customHeight="1">
      <c r="A139" s="13" t="s">
        <v>63</v>
      </c>
      <c r="B139" s="456" t="s">
        <v>281</v>
      </c>
      <c r="C139" s="167">
        <v>9378730</v>
      </c>
      <c r="D139" s="167">
        <v>37606457</v>
      </c>
      <c r="E139" s="103">
        <v>37606457</v>
      </c>
    </row>
    <row r="140" spans="1:5" ht="12" customHeight="1">
      <c r="A140" s="13" t="s">
        <v>209</v>
      </c>
      <c r="B140" s="456" t="s">
        <v>553</v>
      </c>
      <c r="C140" s="167"/>
      <c r="D140" s="167"/>
      <c r="E140" s="103">
        <v>300000000</v>
      </c>
    </row>
    <row r="141" spans="1:5" ht="12" customHeight="1" thickBot="1">
      <c r="A141" s="11" t="s">
        <v>210</v>
      </c>
      <c r="B141" s="459" t="s">
        <v>901</v>
      </c>
      <c r="C141" s="167"/>
      <c r="D141" s="167">
        <v>166008794</v>
      </c>
      <c r="E141" s="103">
        <v>163421540</v>
      </c>
    </row>
    <row r="142" spans="1:9" ht="15" customHeight="1" thickBot="1">
      <c r="A142" s="18" t="s">
        <v>13</v>
      </c>
      <c r="B142" s="458" t="s">
        <v>554</v>
      </c>
      <c r="C142" s="246">
        <f>+C143+C144+C145+C146</f>
        <v>0</v>
      </c>
      <c r="D142" s="246">
        <f>+D143+D144+D145+D146</f>
        <v>0</v>
      </c>
      <c r="E142" s="240">
        <f>+E143+E144+E145+E146</f>
        <v>0</v>
      </c>
      <c r="F142" s="189"/>
      <c r="G142" s="190"/>
      <c r="H142" s="190"/>
      <c r="I142" s="190"/>
    </row>
    <row r="143" spans="1:5" s="178" customFormat="1" ht="12.75" customHeight="1">
      <c r="A143" s="13" t="s">
        <v>122</v>
      </c>
      <c r="B143" s="456" t="s">
        <v>555</v>
      </c>
      <c r="C143" s="167"/>
      <c r="D143" s="167"/>
      <c r="E143" s="103"/>
    </row>
    <row r="144" spans="1:5" ht="13.5" customHeight="1">
      <c r="A144" s="13" t="s">
        <v>123</v>
      </c>
      <c r="B144" s="456" t="s">
        <v>556</v>
      </c>
      <c r="C144" s="167"/>
      <c r="D144" s="167"/>
      <c r="E144" s="103"/>
    </row>
    <row r="145" spans="1:5" ht="13.5" customHeight="1">
      <c r="A145" s="13" t="s">
        <v>146</v>
      </c>
      <c r="B145" s="456" t="s">
        <v>557</v>
      </c>
      <c r="C145" s="167"/>
      <c r="D145" s="167"/>
      <c r="E145" s="103"/>
    </row>
    <row r="146" spans="1:5" ht="13.5" customHeight="1" thickBot="1">
      <c r="A146" s="13" t="s">
        <v>212</v>
      </c>
      <c r="B146" s="456" t="s">
        <v>558</v>
      </c>
      <c r="C146" s="167"/>
      <c r="D146" s="167"/>
      <c r="E146" s="103"/>
    </row>
    <row r="147" spans="1:5" ht="12.75" customHeight="1" thickBot="1">
      <c r="A147" s="18" t="s">
        <v>14</v>
      </c>
      <c r="B147" s="458" t="s">
        <v>559</v>
      </c>
      <c r="C147" s="248">
        <f>+C128+C132+C137+C142</f>
        <v>9378730</v>
      </c>
      <c r="D147" s="248">
        <f>+D128+D132+D137+D142</f>
        <v>203615251</v>
      </c>
      <c r="E147" s="242">
        <f>+E128+E132+E137+E142</f>
        <v>501027997</v>
      </c>
    </row>
    <row r="148" spans="1:5" ht="13.5" customHeight="1" thickBot="1">
      <c r="A148" s="112" t="s">
        <v>15</v>
      </c>
      <c r="B148" s="460" t="s">
        <v>560</v>
      </c>
      <c r="C148" s="248">
        <f>+C127+C147</f>
        <v>856376108</v>
      </c>
      <c r="D148" s="248">
        <f>+D127+D147</f>
        <v>1045974070</v>
      </c>
      <c r="E148" s="242">
        <f>+E127+E147</f>
        <v>1251897042</v>
      </c>
    </row>
    <row r="149" spans="3:4" ht="13.5" customHeight="1">
      <c r="C149" s="725"/>
      <c r="D149" s="725">
        <f>D88-D148</f>
        <v>0</v>
      </c>
    </row>
    <row r="150" ht="13.5" customHeight="1"/>
    <row r="151" ht="7.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</sheetData>
  <sheetProtection/>
  <mergeCells count="13">
    <mergeCell ref="A89:E89"/>
    <mergeCell ref="A91:A92"/>
    <mergeCell ref="B91:B92"/>
    <mergeCell ref="C91:C92"/>
    <mergeCell ref="D91:E91"/>
    <mergeCell ref="A1:E1"/>
    <mergeCell ref="A2:E2"/>
    <mergeCell ref="A3:E3"/>
    <mergeCell ref="A4:E4"/>
    <mergeCell ref="A6:A7"/>
    <mergeCell ref="B6:B7"/>
    <mergeCell ref="C6:C7"/>
    <mergeCell ref="D6:E6"/>
  </mergeCells>
  <printOptions horizontalCentered="1"/>
  <pageMargins left="0.5905511811023623" right="0.5905511811023623" top="0.5905511811023623" bottom="0.5905511811023623" header="0.3937007874015748" footer="0.3937007874015748"/>
  <pageSetup fitToHeight="2" horizontalDpi="600" verticalDpi="600" orientation="portrait" paperSize="9" scale="67" r:id="rId1"/>
  <rowBreaks count="1" manualBreakCount="1">
    <brk id="88" max="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9"/>
  <sheetViews>
    <sheetView zoomScale="120" zoomScaleNormal="120" workbookViewId="0" topLeftCell="A1">
      <selection activeCell="N14" sqref="N14"/>
    </sheetView>
  </sheetViews>
  <sheetFormatPr defaultColWidth="9.00390625" defaultRowHeight="12.75"/>
  <cols>
    <col min="1" max="1" width="6.875" style="28" customWidth="1"/>
    <col min="2" max="2" width="32.375" style="27" customWidth="1"/>
    <col min="3" max="3" width="17.00390625" style="27" customWidth="1"/>
    <col min="4" max="9" width="12.875" style="27" customWidth="1"/>
    <col min="10" max="10" width="13.875" style="27" customWidth="1"/>
    <col min="11" max="11" width="4.00390625" style="27" customWidth="1"/>
    <col min="12" max="16384" width="9.375" style="27" customWidth="1"/>
  </cols>
  <sheetData>
    <row r="1" spans="1:10" ht="15.75">
      <c r="A1" s="818" t="s">
        <v>788</v>
      </c>
      <c r="B1" s="889"/>
      <c r="C1" s="889"/>
      <c r="D1" s="889"/>
      <c r="E1" s="889"/>
      <c r="F1" s="889"/>
      <c r="G1" s="889"/>
      <c r="H1" s="889"/>
      <c r="I1" s="889"/>
      <c r="J1" s="889"/>
    </row>
    <row r="2" spans="1:11" ht="14.25" thickBot="1">
      <c r="A2" s="403"/>
      <c r="B2" s="404"/>
      <c r="C2" s="404"/>
      <c r="D2" s="404"/>
      <c r="E2" s="404"/>
      <c r="F2" s="404"/>
      <c r="G2" s="404"/>
      <c r="H2" s="404"/>
      <c r="I2" s="404"/>
      <c r="J2" s="412" t="str">
        <f>'Z_1.tájékoztató_t.'!E5</f>
        <v>Forintban</v>
      </c>
      <c r="K2" s="817" t="str">
        <f>CONCATENATE("2. tájékoztató tábla ",Z_ALAPADATOK!A7," ",Z_ALAPADATOK!B7," ",Z_ALAPADATOK!C7," ",Z_ALAPADATOK!D7," ",Z_ALAPADATOK!E7," ",Z_ALAPADATOK!F7," ",Z_ALAPADATOK!G7," ",Z_ALAPADATOK!H7)</f>
        <v>2. tájékoztató tábla a 2 / 2019. ( IV.26. ) önkormányzati rendelethez</v>
      </c>
    </row>
    <row r="3" spans="1:11" s="464" customFormat="1" ht="26.25" customHeight="1">
      <c r="A3" s="890" t="s">
        <v>52</v>
      </c>
      <c r="B3" s="892" t="s">
        <v>561</v>
      </c>
      <c r="C3" s="892" t="s">
        <v>562</v>
      </c>
      <c r="D3" s="892" t="s">
        <v>563</v>
      </c>
      <c r="E3" s="892" t="s">
        <v>885</v>
      </c>
      <c r="F3" s="461" t="s">
        <v>564</v>
      </c>
      <c r="G3" s="462"/>
      <c r="H3" s="462"/>
      <c r="I3" s="463"/>
      <c r="J3" s="895" t="s">
        <v>565</v>
      </c>
      <c r="K3" s="817"/>
    </row>
    <row r="4" spans="1:11" s="468" customFormat="1" ht="32.25" customHeight="1" thickBot="1">
      <c r="A4" s="891"/>
      <c r="B4" s="893"/>
      <c r="C4" s="893"/>
      <c r="D4" s="894"/>
      <c r="E4" s="894"/>
      <c r="F4" s="465" t="s">
        <v>857</v>
      </c>
      <c r="G4" s="466" t="s">
        <v>790</v>
      </c>
      <c r="H4" s="466" t="s">
        <v>791</v>
      </c>
      <c r="I4" s="467" t="s">
        <v>792</v>
      </c>
      <c r="J4" s="896"/>
      <c r="K4" s="817"/>
    </row>
    <row r="5" spans="1:11" s="473" customFormat="1" ht="13.5" customHeight="1" thickBot="1">
      <c r="A5" s="469" t="s">
        <v>388</v>
      </c>
      <c r="B5" s="470" t="s">
        <v>566</v>
      </c>
      <c r="C5" s="471" t="s">
        <v>390</v>
      </c>
      <c r="D5" s="471" t="s">
        <v>392</v>
      </c>
      <c r="E5" s="471" t="s">
        <v>391</v>
      </c>
      <c r="F5" s="471" t="s">
        <v>393</v>
      </c>
      <c r="G5" s="471" t="s">
        <v>394</v>
      </c>
      <c r="H5" s="471" t="s">
        <v>395</v>
      </c>
      <c r="I5" s="471" t="s">
        <v>426</v>
      </c>
      <c r="J5" s="472" t="s">
        <v>567</v>
      </c>
      <c r="K5" s="817"/>
    </row>
    <row r="6" spans="1:11" ht="33.75" customHeight="1">
      <c r="A6" s="474" t="s">
        <v>6</v>
      </c>
      <c r="B6" s="475" t="s">
        <v>568</v>
      </c>
      <c r="C6" s="476"/>
      <c r="D6" s="477">
        <f aca="true" t="shared" si="0" ref="D6:I6">SUM(D7:D8)</f>
        <v>0</v>
      </c>
      <c r="E6" s="477">
        <f t="shared" si="0"/>
        <v>0</v>
      </c>
      <c r="F6" s="477">
        <f t="shared" si="0"/>
        <v>0</v>
      </c>
      <c r="G6" s="477">
        <f t="shared" si="0"/>
        <v>0</v>
      </c>
      <c r="H6" s="477">
        <f t="shared" si="0"/>
        <v>0</v>
      </c>
      <c r="I6" s="478">
        <f t="shared" si="0"/>
        <v>0</v>
      </c>
      <c r="J6" s="479">
        <f aca="true" t="shared" si="1" ref="J6:J18">SUM(F6:I6)</f>
        <v>0</v>
      </c>
      <c r="K6" s="817"/>
    </row>
    <row r="7" spans="1:11" ht="21" customHeight="1">
      <c r="A7" s="480" t="s">
        <v>7</v>
      </c>
      <c r="B7" s="481" t="s">
        <v>569</v>
      </c>
      <c r="C7" s="482"/>
      <c r="D7" s="21"/>
      <c r="E7" s="21"/>
      <c r="F7" s="21"/>
      <c r="G7" s="21"/>
      <c r="H7" s="21"/>
      <c r="I7" s="483"/>
      <c r="J7" s="484">
        <f t="shared" si="1"/>
        <v>0</v>
      </c>
      <c r="K7" s="817"/>
    </row>
    <row r="8" spans="1:11" ht="21" customHeight="1">
      <c r="A8" s="480" t="s">
        <v>8</v>
      </c>
      <c r="B8" s="481" t="s">
        <v>569</v>
      </c>
      <c r="C8" s="482"/>
      <c r="D8" s="21"/>
      <c r="E8" s="21"/>
      <c r="F8" s="21"/>
      <c r="G8" s="21"/>
      <c r="H8" s="21"/>
      <c r="I8" s="483"/>
      <c r="J8" s="484">
        <f t="shared" si="1"/>
        <v>0</v>
      </c>
      <c r="K8" s="817"/>
    </row>
    <row r="9" spans="1:11" ht="33" customHeight="1">
      <c r="A9" s="480" t="s">
        <v>9</v>
      </c>
      <c r="B9" s="485" t="s">
        <v>570</v>
      </c>
      <c r="C9" s="486"/>
      <c r="D9" s="487">
        <f aca="true" t="shared" si="2" ref="D9:I9">SUM(D10:D11)</f>
        <v>0</v>
      </c>
      <c r="E9" s="487">
        <f t="shared" si="2"/>
        <v>0</v>
      </c>
      <c r="F9" s="487">
        <f t="shared" si="2"/>
        <v>0</v>
      </c>
      <c r="G9" s="487">
        <f t="shared" si="2"/>
        <v>0</v>
      </c>
      <c r="H9" s="487">
        <f t="shared" si="2"/>
        <v>0</v>
      </c>
      <c r="I9" s="488">
        <f t="shared" si="2"/>
        <v>0</v>
      </c>
      <c r="J9" s="489">
        <f t="shared" si="1"/>
        <v>0</v>
      </c>
      <c r="K9" s="817"/>
    </row>
    <row r="10" spans="1:11" ht="21" customHeight="1">
      <c r="A10" s="480" t="s">
        <v>10</v>
      </c>
      <c r="B10" s="481" t="s">
        <v>569</v>
      </c>
      <c r="C10" s="482"/>
      <c r="D10" s="21"/>
      <c r="E10" s="21"/>
      <c r="F10" s="21"/>
      <c r="G10" s="21"/>
      <c r="H10" s="21"/>
      <c r="I10" s="483"/>
      <c r="J10" s="484">
        <f t="shared" si="1"/>
        <v>0</v>
      </c>
      <c r="K10" s="817"/>
    </row>
    <row r="11" spans="1:11" ht="18" customHeight="1">
      <c r="A11" s="480" t="s">
        <v>11</v>
      </c>
      <c r="B11" s="481" t="s">
        <v>569</v>
      </c>
      <c r="C11" s="482"/>
      <c r="D11" s="21"/>
      <c r="E11" s="21"/>
      <c r="F11" s="21"/>
      <c r="G11" s="21"/>
      <c r="H11" s="21"/>
      <c r="I11" s="483"/>
      <c r="J11" s="484">
        <f t="shared" si="1"/>
        <v>0</v>
      </c>
      <c r="K11" s="817"/>
    </row>
    <row r="12" spans="1:11" ht="21" customHeight="1">
      <c r="A12" s="480" t="s">
        <v>12</v>
      </c>
      <c r="B12" s="490" t="s">
        <v>571</v>
      </c>
      <c r="C12" s="486"/>
      <c r="D12" s="487">
        <f aca="true" t="shared" si="3" ref="D12:I12">SUM(D13:D13)</f>
        <v>0</v>
      </c>
      <c r="E12" s="487">
        <f t="shared" si="3"/>
        <v>0</v>
      </c>
      <c r="F12" s="487">
        <f t="shared" si="3"/>
        <v>0</v>
      </c>
      <c r="G12" s="487">
        <f t="shared" si="3"/>
        <v>0</v>
      </c>
      <c r="H12" s="487">
        <f t="shared" si="3"/>
        <v>0</v>
      </c>
      <c r="I12" s="488">
        <f t="shared" si="3"/>
        <v>0</v>
      </c>
      <c r="J12" s="489">
        <f t="shared" si="1"/>
        <v>0</v>
      </c>
      <c r="K12" s="817"/>
    </row>
    <row r="13" spans="1:11" ht="21" customHeight="1">
      <c r="A13" s="480" t="s">
        <v>13</v>
      </c>
      <c r="B13" s="481" t="s">
        <v>569</v>
      </c>
      <c r="C13" s="482"/>
      <c r="D13" s="21"/>
      <c r="E13" s="21"/>
      <c r="F13" s="21"/>
      <c r="G13" s="21"/>
      <c r="H13" s="21"/>
      <c r="I13" s="483"/>
      <c r="J13" s="484">
        <f t="shared" si="1"/>
        <v>0</v>
      </c>
      <c r="K13" s="817"/>
    </row>
    <row r="14" spans="1:11" ht="21" customHeight="1">
      <c r="A14" s="480" t="s">
        <v>14</v>
      </c>
      <c r="B14" s="490" t="s">
        <v>572</v>
      </c>
      <c r="C14" s="486"/>
      <c r="D14" s="487">
        <f aca="true" t="shared" si="4" ref="D14:I14">SUM(D15:D15)</f>
        <v>0</v>
      </c>
      <c r="E14" s="487">
        <f t="shared" si="4"/>
        <v>0</v>
      </c>
      <c r="F14" s="487">
        <f t="shared" si="4"/>
        <v>0</v>
      </c>
      <c r="G14" s="487">
        <f t="shared" si="4"/>
        <v>0</v>
      </c>
      <c r="H14" s="487">
        <f t="shared" si="4"/>
        <v>0</v>
      </c>
      <c r="I14" s="488">
        <f t="shared" si="4"/>
        <v>0</v>
      </c>
      <c r="J14" s="489">
        <f t="shared" si="1"/>
        <v>0</v>
      </c>
      <c r="K14" s="817"/>
    </row>
    <row r="15" spans="1:11" ht="21" customHeight="1">
      <c r="A15" s="480" t="s">
        <v>15</v>
      </c>
      <c r="B15" s="481" t="s">
        <v>569</v>
      </c>
      <c r="C15" s="482"/>
      <c r="D15" s="21"/>
      <c r="E15" s="21"/>
      <c r="F15" s="21"/>
      <c r="G15" s="21"/>
      <c r="H15" s="21"/>
      <c r="I15" s="483"/>
      <c r="J15" s="484">
        <f t="shared" si="1"/>
        <v>0</v>
      </c>
      <c r="K15" s="817"/>
    </row>
    <row r="16" spans="1:11" ht="21" customHeight="1">
      <c r="A16" s="491" t="s">
        <v>16</v>
      </c>
      <c r="B16" s="492" t="s">
        <v>573</v>
      </c>
      <c r="C16" s="493"/>
      <c r="D16" s="494">
        <f aca="true" t="shared" si="5" ref="D16:I16">SUM(D17:D18)</f>
        <v>0</v>
      </c>
      <c r="E16" s="494">
        <f t="shared" si="5"/>
        <v>0</v>
      </c>
      <c r="F16" s="494">
        <f t="shared" si="5"/>
        <v>0</v>
      </c>
      <c r="G16" s="494">
        <f t="shared" si="5"/>
        <v>0</v>
      </c>
      <c r="H16" s="494">
        <f t="shared" si="5"/>
        <v>0</v>
      </c>
      <c r="I16" s="495">
        <f t="shared" si="5"/>
        <v>0</v>
      </c>
      <c r="J16" s="489">
        <f t="shared" si="1"/>
        <v>0</v>
      </c>
      <c r="K16" s="817"/>
    </row>
    <row r="17" spans="1:11" ht="21" customHeight="1">
      <c r="A17" s="491" t="s">
        <v>17</v>
      </c>
      <c r="B17" s="481" t="s">
        <v>569</v>
      </c>
      <c r="C17" s="482"/>
      <c r="D17" s="21"/>
      <c r="E17" s="21"/>
      <c r="F17" s="21"/>
      <c r="G17" s="21"/>
      <c r="H17" s="21"/>
      <c r="I17" s="483"/>
      <c r="J17" s="484">
        <f t="shared" si="1"/>
        <v>0</v>
      </c>
      <c r="K17" s="817"/>
    </row>
    <row r="18" spans="1:11" ht="21" customHeight="1" thickBot="1">
      <c r="A18" s="491" t="s">
        <v>18</v>
      </c>
      <c r="B18" s="481" t="s">
        <v>569</v>
      </c>
      <c r="C18" s="496"/>
      <c r="D18" s="497"/>
      <c r="E18" s="497"/>
      <c r="F18" s="497"/>
      <c r="G18" s="497"/>
      <c r="H18" s="497"/>
      <c r="I18" s="498"/>
      <c r="J18" s="484">
        <f t="shared" si="1"/>
        <v>0</v>
      </c>
      <c r="K18" s="817"/>
    </row>
    <row r="19" spans="1:11" ht="21" customHeight="1" thickBot="1">
      <c r="A19" s="499" t="s">
        <v>19</v>
      </c>
      <c r="B19" s="500" t="s">
        <v>574</v>
      </c>
      <c r="C19" s="501"/>
      <c r="D19" s="502">
        <f aca="true" t="shared" si="6" ref="D19:J19">D6+D9+D12+D14+D16</f>
        <v>0</v>
      </c>
      <c r="E19" s="502">
        <f t="shared" si="6"/>
        <v>0</v>
      </c>
      <c r="F19" s="502">
        <f t="shared" si="6"/>
        <v>0</v>
      </c>
      <c r="G19" s="502">
        <f t="shared" si="6"/>
        <v>0</v>
      </c>
      <c r="H19" s="502">
        <f t="shared" si="6"/>
        <v>0</v>
      </c>
      <c r="I19" s="503">
        <f t="shared" si="6"/>
        <v>0</v>
      </c>
      <c r="J19" s="504">
        <f t="shared" si="6"/>
        <v>0</v>
      </c>
      <c r="K19" s="817"/>
    </row>
  </sheetData>
  <sheetProtection sheet="1"/>
  <mergeCells count="8">
    <mergeCell ref="A1:J1"/>
    <mergeCell ref="K2:K19"/>
    <mergeCell ref="A3:A4"/>
    <mergeCell ref="B3:B4"/>
    <mergeCell ref="C3:C4"/>
    <mergeCell ref="D3:D4"/>
    <mergeCell ref="E3:E4"/>
    <mergeCell ref="J3:J4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zoomScale="120" zoomScaleNormal="120" workbookViewId="0" topLeftCell="A1">
      <selection activeCell="B5" sqref="B5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76" t="s">
        <v>527</v>
      </c>
      <c r="B1" s="79"/>
    </row>
    <row r="2" spans="1:2" ht="12.75">
      <c r="A2" s="79"/>
      <c r="B2" s="79"/>
    </row>
    <row r="3" spans="1:2" ht="12.75">
      <c r="A3" s="278"/>
      <c r="B3" s="278"/>
    </row>
    <row r="4" spans="1:2" ht="15.75">
      <c r="A4" s="81"/>
      <c r="B4" s="282"/>
    </row>
    <row r="5" spans="1:2" ht="15.75">
      <c r="A5" s="81"/>
      <c r="B5" s="282"/>
    </row>
    <row r="6" spans="1:2" s="66" customFormat="1" ht="15.75">
      <c r="A6" s="81" t="s">
        <v>855</v>
      </c>
      <c r="B6" s="278"/>
    </row>
    <row r="7" spans="1:2" s="66" customFormat="1" ht="12.75">
      <c r="A7" s="278"/>
      <c r="B7" s="278"/>
    </row>
    <row r="8" spans="1:2" s="66" customFormat="1" ht="12.75">
      <c r="A8" s="278"/>
      <c r="B8" s="278"/>
    </row>
    <row r="9" spans="1:2" ht="12.75">
      <c r="A9" s="278" t="s">
        <v>467</v>
      </c>
      <c r="B9" s="278" t="s">
        <v>428</v>
      </c>
    </row>
    <row r="10" spans="1:2" ht="12.75">
      <c r="A10" s="278" t="s">
        <v>465</v>
      </c>
      <c r="B10" s="278" t="s">
        <v>434</v>
      </c>
    </row>
    <row r="11" spans="1:2" ht="12.75">
      <c r="A11" s="278" t="s">
        <v>466</v>
      </c>
      <c r="B11" s="278" t="s">
        <v>435</v>
      </c>
    </row>
    <row r="12" spans="1:2" ht="12.75">
      <c r="A12" s="278"/>
      <c r="B12" s="278"/>
    </row>
    <row r="13" spans="1:2" ht="15.75">
      <c r="A13" s="81" t="str">
        <f>+CONCATENATE(LEFT(A6,4),". évi módosított előirányzat BEVÉTELEK")</f>
        <v>2018. évi módosított előirányzat BEVÉTELEK</v>
      </c>
      <c r="B13" s="282"/>
    </row>
    <row r="14" spans="1:2" ht="12.75">
      <c r="A14" s="278"/>
      <c r="B14" s="278"/>
    </row>
    <row r="15" spans="1:2" s="66" customFormat="1" ht="12.75">
      <c r="A15" s="278" t="s">
        <v>468</v>
      </c>
      <c r="B15" s="278" t="s">
        <v>429</v>
      </c>
    </row>
    <row r="16" spans="1:2" ht="12.75">
      <c r="A16" s="278" t="s">
        <v>469</v>
      </c>
      <c r="B16" s="278" t="s">
        <v>436</v>
      </c>
    </row>
    <row r="17" spans="1:2" ht="12.75">
      <c r="A17" s="278" t="s">
        <v>470</v>
      </c>
      <c r="B17" s="278" t="s">
        <v>437</v>
      </c>
    </row>
    <row r="18" spans="1:2" ht="12.75">
      <c r="A18" s="278"/>
      <c r="B18" s="278"/>
    </row>
    <row r="19" spans="1:2" ht="14.25">
      <c r="A19" s="285" t="str">
        <f>+CONCATENATE(LEFT(A6,4),".évi teljesített BEVÉTELEK")</f>
        <v>2018.évi teljesített BEVÉTELEK</v>
      </c>
      <c r="B19" s="282"/>
    </row>
    <row r="20" spans="1:2" ht="12.75">
      <c r="A20" s="278"/>
      <c r="B20" s="278"/>
    </row>
    <row r="21" spans="1:2" ht="12.75">
      <c r="A21" s="278" t="s">
        <v>471</v>
      </c>
      <c r="B21" s="278" t="s">
        <v>430</v>
      </c>
    </row>
    <row r="22" spans="1:2" ht="12.75">
      <c r="A22" s="278" t="s">
        <v>472</v>
      </c>
      <c r="B22" s="278" t="s">
        <v>438</v>
      </c>
    </row>
    <row r="23" spans="1:2" ht="12.75">
      <c r="A23" s="278" t="s">
        <v>473</v>
      </c>
      <c r="B23" s="278" t="s">
        <v>439</v>
      </c>
    </row>
    <row r="24" spans="1:2" ht="12.75">
      <c r="A24" s="278"/>
      <c r="B24" s="278"/>
    </row>
    <row r="25" spans="1:2" ht="15.75">
      <c r="A25" s="81" t="str">
        <f>+CONCATENATE(LEFT(A6,4),". évi eredeti előirányzat KIADÁSOK")</f>
        <v>2018. évi eredeti előirányzat KIADÁSOK</v>
      </c>
      <c r="B25" s="282"/>
    </row>
    <row r="26" spans="1:2" ht="12.75">
      <c r="A26" s="278"/>
      <c r="B26" s="278"/>
    </row>
    <row r="27" spans="1:2" ht="12.75">
      <c r="A27" s="278" t="s">
        <v>474</v>
      </c>
      <c r="B27" s="278" t="s">
        <v>431</v>
      </c>
    </row>
    <row r="28" spans="1:2" ht="12.75">
      <c r="A28" s="278" t="s">
        <v>475</v>
      </c>
      <c r="B28" s="278" t="s">
        <v>440</v>
      </c>
    </row>
    <row r="29" spans="1:2" ht="12.75">
      <c r="A29" s="278" t="s">
        <v>476</v>
      </c>
      <c r="B29" s="278" t="s">
        <v>441</v>
      </c>
    </row>
    <row r="30" spans="1:2" ht="12.75">
      <c r="A30" s="278"/>
      <c r="B30" s="278"/>
    </row>
    <row r="31" spans="1:2" ht="15.75">
      <c r="A31" s="81" t="str">
        <f>+CONCATENATE(LEFT(A6,4),". évi módosított előirányzat KIADÁSOK")</f>
        <v>2018. évi módosított előirányzat KIADÁSOK</v>
      </c>
      <c r="B31" s="282"/>
    </row>
    <row r="32" spans="1:2" ht="12.75">
      <c r="A32" s="278"/>
      <c r="B32" s="278"/>
    </row>
    <row r="33" spans="1:2" ht="12.75">
      <c r="A33" s="278" t="s">
        <v>477</v>
      </c>
      <c r="B33" s="278" t="s">
        <v>432</v>
      </c>
    </row>
    <row r="34" spans="1:2" ht="12.75">
      <c r="A34" s="278" t="s">
        <v>478</v>
      </c>
      <c r="B34" s="278" t="s">
        <v>442</v>
      </c>
    </row>
    <row r="35" spans="1:2" ht="12.75">
      <c r="A35" s="278" t="s">
        <v>479</v>
      </c>
      <c r="B35" s="278" t="s">
        <v>443</v>
      </c>
    </row>
    <row r="36" spans="1:2" ht="12.75">
      <c r="A36" s="278"/>
      <c r="B36" s="278"/>
    </row>
    <row r="37" spans="1:2" ht="15.75">
      <c r="A37" s="284" t="str">
        <f>+CONCATENATE(LEFT(A6,4),".évi teljesített KIADÁSOK")</f>
        <v>2018.évi teljesített KIADÁSOK</v>
      </c>
      <c r="B37" s="282"/>
    </row>
    <row r="38" spans="1:2" ht="12.75">
      <c r="A38" s="278"/>
      <c r="B38" s="278"/>
    </row>
    <row r="39" spans="1:2" ht="12.75">
      <c r="A39" s="278" t="s">
        <v>480</v>
      </c>
      <c r="B39" s="278" t="s">
        <v>433</v>
      </c>
    </row>
    <row r="40" spans="1:2" ht="12.75">
      <c r="A40" s="278" t="s">
        <v>481</v>
      </c>
      <c r="B40" s="278" t="s">
        <v>444</v>
      </c>
    </row>
    <row r="41" spans="1:2" ht="12.75">
      <c r="A41" s="278" t="s">
        <v>482</v>
      </c>
      <c r="B41" s="278" t="s">
        <v>445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I21"/>
  <sheetViews>
    <sheetView zoomScale="120" zoomScaleNormal="120" workbookViewId="0" topLeftCell="A1">
      <selection activeCell="L11" sqref="L11"/>
    </sheetView>
  </sheetViews>
  <sheetFormatPr defaultColWidth="9.00390625" defaultRowHeight="12.75"/>
  <cols>
    <col min="1" max="1" width="6.875" style="28" customWidth="1"/>
    <col min="2" max="2" width="50.375" style="27" customWidth="1"/>
    <col min="3" max="4" width="12.875" style="27" customWidth="1"/>
    <col min="5" max="5" width="14.875" style="27" customWidth="1"/>
    <col min="6" max="6" width="13.875" style="27" customWidth="1"/>
    <col min="7" max="7" width="15.50390625" style="27" customWidth="1"/>
    <col min="8" max="8" width="16.875" style="27" customWidth="1"/>
    <col min="9" max="9" width="5.625" style="27" customWidth="1"/>
    <col min="10" max="16384" width="9.375" style="27" customWidth="1"/>
  </cols>
  <sheetData>
    <row r="1" spans="1:8" ht="17.25" customHeight="1">
      <c r="A1" s="818" t="s">
        <v>854</v>
      </c>
      <c r="B1" s="889"/>
      <c r="C1" s="889"/>
      <c r="D1" s="889"/>
      <c r="E1" s="889"/>
      <c r="F1" s="889"/>
      <c r="G1" s="889"/>
      <c r="H1" s="889"/>
    </row>
    <row r="2" spans="1:8" ht="12.75">
      <c r="A2" s="403"/>
      <c r="B2" s="404"/>
      <c r="C2" s="404"/>
      <c r="D2" s="404"/>
      <c r="E2" s="404"/>
      <c r="F2" s="404"/>
      <c r="G2" s="404"/>
      <c r="H2" s="404"/>
    </row>
    <row r="3" spans="1:9" s="505" customFormat="1" ht="15.75" thickBot="1">
      <c r="A3" s="674"/>
      <c r="B3" s="402"/>
      <c r="C3" s="402"/>
      <c r="D3" s="402"/>
      <c r="E3" s="402"/>
      <c r="F3" s="402"/>
      <c r="G3" s="402"/>
      <c r="H3" s="412" t="str">
        <f>'Z_2.tájékoztató_t.'!J2</f>
        <v>Forintban</v>
      </c>
      <c r="I3" s="897" t="str">
        <f>CONCATENATE("3. tájékoztató tábla ",Z_ALAPADATOK!A7," ",Z_ALAPADATOK!B7," ",Z_ALAPADATOK!C7," ",Z_ALAPADATOK!D7," ",Z_ALAPADATOK!E7," ",Z_ALAPADATOK!F7," ",Z_ALAPADATOK!G7," ",Z_ALAPADATOK!H7)</f>
        <v>3. tájékoztató tábla a 2 / 2019. ( IV.26. ) önkormányzati rendelethez</v>
      </c>
    </row>
    <row r="4" spans="1:9" s="464" customFormat="1" ht="26.25" customHeight="1">
      <c r="A4" s="898" t="s">
        <v>52</v>
      </c>
      <c r="B4" s="900" t="s">
        <v>575</v>
      </c>
      <c r="C4" s="898" t="s">
        <v>576</v>
      </c>
      <c r="D4" s="898" t="s">
        <v>577</v>
      </c>
      <c r="E4" s="902" t="s">
        <v>886</v>
      </c>
      <c r="F4" s="904" t="s">
        <v>578</v>
      </c>
      <c r="G4" s="905"/>
      <c r="H4" s="906" t="s">
        <v>887</v>
      </c>
      <c r="I4" s="897"/>
    </row>
    <row r="5" spans="1:9" s="468" customFormat="1" ht="40.5" customHeight="1" thickBot="1">
      <c r="A5" s="899"/>
      <c r="B5" s="901"/>
      <c r="C5" s="901"/>
      <c r="D5" s="899"/>
      <c r="E5" s="903"/>
      <c r="F5" s="675" t="s">
        <v>857</v>
      </c>
      <c r="G5" s="676" t="s">
        <v>790</v>
      </c>
      <c r="H5" s="907"/>
      <c r="I5" s="897"/>
    </row>
    <row r="6" spans="1:9" s="506" customFormat="1" ht="12.75" customHeight="1" thickBot="1">
      <c r="A6" s="677" t="s">
        <v>388</v>
      </c>
      <c r="B6" s="678" t="s">
        <v>389</v>
      </c>
      <c r="C6" s="678" t="s">
        <v>390</v>
      </c>
      <c r="D6" s="679" t="s">
        <v>392</v>
      </c>
      <c r="E6" s="677" t="s">
        <v>391</v>
      </c>
      <c r="F6" s="679" t="s">
        <v>393</v>
      </c>
      <c r="G6" s="679" t="s">
        <v>394</v>
      </c>
      <c r="H6" s="373" t="s">
        <v>395</v>
      </c>
      <c r="I6" s="897"/>
    </row>
    <row r="7" spans="1:9" ht="22.5" customHeight="1" thickBot="1">
      <c r="A7" s="507" t="s">
        <v>6</v>
      </c>
      <c r="B7" s="508" t="s">
        <v>579</v>
      </c>
      <c r="C7" s="509"/>
      <c r="D7" s="510"/>
      <c r="E7" s="511">
        <f>SUM(E8:E13)</f>
        <v>0</v>
      </c>
      <c r="F7" s="512">
        <f>SUM(F8:F13)</f>
        <v>0</v>
      </c>
      <c r="G7" s="512">
        <f>SUM(G8:G13)</f>
        <v>0</v>
      </c>
      <c r="H7" s="513">
        <f>SUM(H8:H13)</f>
        <v>0</v>
      </c>
      <c r="I7" s="897"/>
    </row>
    <row r="8" spans="1:9" ht="22.5" customHeight="1">
      <c r="A8" s="514" t="s">
        <v>7</v>
      </c>
      <c r="B8" s="515" t="s">
        <v>569</v>
      </c>
      <c r="C8" s="516"/>
      <c r="D8" s="517"/>
      <c r="E8" s="518"/>
      <c r="F8" s="21"/>
      <c r="G8" s="21"/>
      <c r="H8" s="519"/>
      <c r="I8" s="897"/>
    </row>
    <row r="9" spans="1:9" ht="22.5" customHeight="1">
      <c r="A9" s="514" t="s">
        <v>8</v>
      </c>
      <c r="B9" s="515" t="s">
        <v>569</v>
      </c>
      <c r="C9" s="516"/>
      <c r="D9" s="517"/>
      <c r="E9" s="518"/>
      <c r="F9" s="21"/>
      <c r="G9" s="21"/>
      <c r="H9" s="519"/>
      <c r="I9" s="897"/>
    </row>
    <row r="10" spans="1:9" ht="22.5" customHeight="1">
      <c r="A10" s="514" t="s">
        <v>9</v>
      </c>
      <c r="B10" s="515" t="s">
        <v>569</v>
      </c>
      <c r="C10" s="516"/>
      <c r="D10" s="517"/>
      <c r="E10" s="518"/>
      <c r="F10" s="21"/>
      <c r="G10" s="21"/>
      <c r="H10" s="519"/>
      <c r="I10" s="897"/>
    </row>
    <row r="11" spans="1:9" ht="22.5" customHeight="1">
      <c r="A11" s="514" t="s">
        <v>10</v>
      </c>
      <c r="B11" s="515" t="s">
        <v>569</v>
      </c>
      <c r="C11" s="516"/>
      <c r="D11" s="517"/>
      <c r="E11" s="518"/>
      <c r="F11" s="21"/>
      <c r="G11" s="21"/>
      <c r="H11" s="519"/>
      <c r="I11" s="897"/>
    </row>
    <row r="12" spans="1:9" ht="22.5" customHeight="1">
      <c r="A12" s="514" t="s">
        <v>11</v>
      </c>
      <c r="B12" s="515" t="s">
        <v>569</v>
      </c>
      <c r="C12" s="516"/>
      <c r="D12" s="517"/>
      <c r="E12" s="518"/>
      <c r="F12" s="21"/>
      <c r="G12" s="21"/>
      <c r="H12" s="519"/>
      <c r="I12" s="897"/>
    </row>
    <row r="13" spans="1:9" ht="22.5" customHeight="1" thickBot="1">
      <c r="A13" s="514" t="s">
        <v>12</v>
      </c>
      <c r="B13" s="515" t="s">
        <v>569</v>
      </c>
      <c r="C13" s="516"/>
      <c r="D13" s="517"/>
      <c r="E13" s="518"/>
      <c r="F13" s="21"/>
      <c r="G13" s="21"/>
      <c r="H13" s="519"/>
      <c r="I13" s="897"/>
    </row>
    <row r="14" spans="1:9" ht="22.5" customHeight="1" thickBot="1">
      <c r="A14" s="507" t="s">
        <v>13</v>
      </c>
      <c r="B14" s="508" t="s">
        <v>580</v>
      </c>
      <c r="C14" s="520"/>
      <c r="D14" s="521"/>
      <c r="E14" s="511">
        <f>SUM(E15:E20)</f>
        <v>0</v>
      </c>
      <c r="F14" s="512">
        <f>SUM(F15:F20)</f>
        <v>0</v>
      </c>
      <c r="G14" s="512">
        <f>SUM(G15:G20)</f>
        <v>0</v>
      </c>
      <c r="H14" s="513">
        <f>SUM(H15:H20)</f>
        <v>0</v>
      </c>
      <c r="I14" s="897"/>
    </row>
    <row r="15" spans="1:9" ht="22.5" customHeight="1">
      <c r="A15" s="514" t="s">
        <v>14</v>
      </c>
      <c r="B15" s="515" t="s">
        <v>569</v>
      </c>
      <c r="C15" s="516"/>
      <c r="D15" s="517"/>
      <c r="E15" s="518"/>
      <c r="F15" s="21"/>
      <c r="G15" s="21"/>
      <c r="H15" s="519"/>
      <c r="I15" s="897"/>
    </row>
    <row r="16" spans="1:9" ht="22.5" customHeight="1">
      <c r="A16" s="514" t="s">
        <v>15</v>
      </c>
      <c r="B16" s="515" t="s">
        <v>569</v>
      </c>
      <c r="C16" s="516"/>
      <c r="D16" s="517"/>
      <c r="E16" s="518"/>
      <c r="F16" s="21"/>
      <c r="G16" s="21"/>
      <c r="H16" s="519"/>
      <c r="I16" s="897"/>
    </row>
    <row r="17" spans="1:9" ht="22.5" customHeight="1">
      <c r="A17" s="514" t="s">
        <v>16</v>
      </c>
      <c r="B17" s="515" t="s">
        <v>569</v>
      </c>
      <c r="C17" s="516"/>
      <c r="D17" s="517"/>
      <c r="E17" s="518"/>
      <c r="F17" s="21"/>
      <c r="G17" s="21"/>
      <c r="H17" s="519"/>
      <c r="I17" s="897"/>
    </row>
    <row r="18" spans="1:9" ht="22.5" customHeight="1">
      <c r="A18" s="514" t="s">
        <v>17</v>
      </c>
      <c r="B18" s="515" t="s">
        <v>569</v>
      </c>
      <c r="C18" s="516"/>
      <c r="D18" s="517"/>
      <c r="E18" s="518"/>
      <c r="F18" s="21"/>
      <c r="G18" s="21"/>
      <c r="H18" s="519"/>
      <c r="I18" s="897"/>
    </row>
    <row r="19" spans="1:9" ht="22.5" customHeight="1">
      <c r="A19" s="514" t="s">
        <v>18</v>
      </c>
      <c r="B19" s="515" t="s">
        <v>569</v>
      </c>
      <c r="C19" s="516"/>
      <c r="D19" s="517"/>
      <c r="E19" s="518"/>
      <c r="F19" s="21"/>
      <c r="G19" s="21"/>
      <c r="H19" s="519"/>
      <c r="I19" s="897"/>
    </row>
    <row r="20" spans="1:9" ht="22.5" customHeight="1" thickBot="1">
      <c r="A20" s="514" t="s">
        <v>19</v>
      </c>
      <c r="B20" s="515" t="s">
        <v>569</v>
      </c>
      <c r="C20" s="516"/>
      <c r="D20" s="517"/>
      <c r="E20" s="518"/>
      <c r="F20" s="21"/>
      <c r="G20" s="21"/>
      <c r="H20" s="519"/>
      <c r="I20" s="897"/>
    </row>
    <row r="21" spans="1:9" ht="22.5" customHeight="1" thickBot="1">
      <c r="A21" s="507" t="s">
        <v>20</v>
      </c>
      <c r="B21" s="508" t="s">
        <v>581</v>
      </c>
      <c r="C21" s="509"/>
      <c r="D21" s="510"/>
      <c r="E21" s="511">
        <f>E7+E14</f>
        <v>0</v>
      </c>
      <c r="F21" s="512">
        <f>F7+F14</f>
        <v>0</v>
      </c>
      <c r="G21" s="512">
        <f>G7+G14</f>
        <v>0</v>
      </c>
      <c r="H21" s="513">
        <f>H7+H14</f>
        <v>0</v>
      </c>
      <c r="I21" s="897"/>
    </row>
    <row r="22" ht="19.5" customHeight="1"/>
  </sheetData>
  <sheetProtection sheet="1"/>
  <mergeCells count="9">
    <mergeCell ref="A1:H1"/>
    <mergeCell ref="I3:I21"/>
    <mergeCell ref="A4:A5"/>
    <mergeCell ref="B4:B5"/>
    <mergeCell ref="C4:C5"/>
    <mergeCell ref="D4:D5"/>
    <mergeCell ref="E4:E5"/>
    <mergeCell ref="F4:G4"/>
    <mergeCell ref="H4:H5"/>
  </mergeCells>
  <printOptions horizont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zoomScale="120" zoomScaleNormal="120" workbookViewId="0" topLeftCell="A1">
      <selection activeCell="M13" sqref="M13"/>
    </sheetView>
  </sheetViews>
  <sheetFormatPr defaultColWidth="9.00390625" defaultRowHeight="12.75"/>
  <cols>
    <col min="1" max="1" width="5.50390625" style="31" customWidth="1"/>
    <col min="2" max="2" width="36.875" style="31" customWidth="1"/>
    <col min="3" max="8" width="13.875" style="31" customWidth="1"/>
    <col min="9" max="9" width="15.125" style="31" customWidth="1"/>
    <col min="10" max="10" width="5.00390625" style="31" customWidth="1"/>
    <col min="11" max="16384" width="9.375" style="31" customWidth="1"/>
  </cols>
  <sheetData>
    <row r="1" spans="1:10" ht="34.5" customHeight="1">
      <c r="A1" s="908" t="s">
        <v>888</v>
      </c>
      <c r="B1" s="909"/>
      <c r="C1" s="909"/>
      <c r="D1" s="909"/>
      <c r="E1" s="909"/>
      <c r="F1" s="909"/>
      <c r="G1" s="909"/>
      <c r="H1" s="909"/>
      <c r="I1" s="909"/>
      <c r="J1" s="897" t="str">
        <f>CONCATENATE("4. tájékoztató tábla ",Z_ALAPADATOK!A7," ",Z_ALAPADATOK!B7," ",Z_ALAPADATOK!C7," ",Z_ALAPADATOK!D7," ",Z_ALAPADATOK!E7," ",Z_ALAPADATOK!F7," ",Z_ALAPADATOK!G7," ",Z_ALAPADATOK!H7)</f>
        <v>4. tájékoztató tábla a 2 / 2019. ( IV.26. ) önkormányzati rendelethez</v>
      </c>
    </row>
    <row r="2" spans="1:10" ht="14.25" thickBot="1">
      <c r="A2" s="67"/>
      <c r="B2" s="67"/>
      <c r="C2" s="67"/>
      <c r="D2" s="67"/>
      <c r="E2" s="67"/>
      <c r="F2" s="67"/>
      <c r="G2" s="67"/>
      <c r="H2" s="910" t="str">
        <f>'Z_3.tájékoztató_t.'!H3</f>
        <v>Forintban</v>
      </c>
      <c r="I2" s="910"/>
      <c r="J2" s="897"/>
    </row>
    <row r="3" spans="1:10" ht="13.5" thickBot="1">
      <c r="A3" s="911" t="s">
        <v>4</v>
      </c>
      <c r="B3" s="913" t="s">
        <v>582</v>
      </c>
      <c r="C3" s="915" t="s">
        <v>583</v>
      </c>
      <c r="D3" s="917" t="s">
        <v>584</v>
      </c>
      <c r="E3" s="918"/>
      <c r="F3" s="918"/>
      <c r="G3" s="918"/>
      <c r="H3" s="918"/>
      <c r="I3" s="919" t="s">
        <v>585</v>
      </c>
      <c r="J3" s="897"/>
    </row>
    <row r="4" spans="1:10" s="45" customFormat="1" ht="42" customHeight="1" thickBot="1">
      <c r="A4" s="912"/>
      <c r="B4" s="914"/>
      <c r="C4" s="916"/>
      <c r="D4" s="395" t="s">
        <v>586</v>
      </c>
      <c r="E4" s="395" t="s">
        <v>587</v>
      </c>
      <c r="F4" s="395" t="s">
        <v>588</v>
      </c>
      <c r="G4" s="680" t="s">
        <v>589</v>
      </c>
      <c r="H4" s="680" t="s">
        <v>590</v>
      </c>
      <c r="I4" s="920"/>
      <c r="J4" s="897"/>
    </row>
    <row r="5" spans="1:10" s="45" customFormat="1" ht="12" customHeight="1" thickBot="1">
      <c r="A5" s="426" t="s">
        <v>388</v>
      </c>
      <c r="B5" s="427" t="s">
        <v>389</v>
      </c>
      <c r="C5" s="427" t="s">
        <v>390</v>
      </c>
      <c r="D5" s="427" t="s">
        <v>392</v>
      </c>
      <c r="E5" s="427" t="s">
        <v>391</v>
      </c>
      <c r="F5" s="427" t="s">
        <v>393</v>
      </c>
      <c r="G5" s="427" t="s">
        <v>394</v>
      </c>
      <c r="H5" s="427" t="s">
        <v>591</v>
      </c>
      <c r="I5" s="429" t="s">
        <v>592</v>
      </c>
      <c r="J5" s="897"/>
    </row>
    <row r="6" spans="1:10" s="45" customFormat="1" ht="18" customHeight="1">
      <c r="A6" s="921" t="s">
        <v>593</v>
      </c>
      <c r="B6" s="922"/>
      <c r="C6" s="922"/>
      <c r="D6" s="922"/>
      <c r="E6" s="922"/>
      <c r="F6" s="922"/>
      <c r="G6" s="922"/>
      <c r="H6" s="922"/>
      <c r="I6" s="923"/>
      <c r="J6" s="897"/>
    </row>
    <row r="7" spans="1:10" ht="15.75" customHeight="1">
      <c r="A7" s="96" t="s">
        <v>6</v>
      </c>
      <c r="B7" s="77" t="s">
        <v>594</v>
      </c>
      <c r="C7" s="68"/>
      <c r="D7" s="68"/>
      <c r="E7" s="68"/>
      <c r="F7" s="68"/>
      <c r="G7" s="522"/>
      <c r="H7" s="523">
        <f aca="true" t="shared" si="0" ref="H7:H13">SUM(D7:G7)</f>
        <v>0</v>
      </c>
      <c r="I7" s="97">
        <f aca="true" t="shared" si="1" ref="I7:I13">C7+H7</f>
        <v>0</v>
      </c>
      <c r="J7" s="897"/>
    </row>
    <row r="8" spans="1:10" ht="22.5">
      <c r="A8" s="96" t="s">
        <v>7</v>
      </c>
      <c r="B8" s="77" t="s">
        <v>139</v>
      </c>
      <c r="C8" s="68"/>
      <c r="D8" s="68"/>
      <c r="E8" s="68"/>
      <c r="F8" s="68"/>
      <c r="G8" s="522"/>
      <c r="H8" s="523">
        <f t="shared" si="0"/>
        <v>0</v>
      </c>
      <c r="I8" s="97">
        <f t="shared" si="1"/>
        <v>0</v>
      </c>
      <c r="J8" s="897"/>
    </row>
    <row r="9" spans="1:10" ht="22.5">
      <c r="A9" s="96" t="s">
        <v>8</v>
      </c>
      <c r="B9" s="77" t="s">
        <v>140</v>
      </c>
      <c r="C9" s="68"/>
      <c r="D9" s="68"/>
      <c r="E9" s="68"/>
      <c r="F9" s="68"/>
      <c r="G9" s="522"/>
      <c r="H9" s="523">
        <f t="shared" si="0"/>
        <v>0</v>
      </c>
      <c r="I9" s="97">
        <f t="shared" si="1"/>
        <v>0</v>
      </c>
      <c r="J9" s="897"/>
    </row>
    <row r="10" spans="1:10" ht="15.75" customHeight="1">
      <c r="A10" s="96" t="s">
        <v>9</v>
      </c>
      <c r="B10" s="77" t="s">
        <v>141</v>
      </c>
      <c r="C10" s="68"/>
      <c r="D10" s="68"/>
      <c r="E10" s="68"/>
      <c r="F10" s="68"/>
      <c r="G10" s="522"/>
      <c r="H10" s="523">
        <f t="shared" si="0"/>
        <v>0</v>
      </c>
      <c r="I10" s="97">
        <f t="shared" si="1"/>
        <v>0</v>
      </c>
      <c r="J10" s="897"/>
    </row>
    <row r="11" spans="1:10" ht="22.5">
      <c r="A11" s="96" t="s">
        <v>10</v>
      </c>
      <c r="B11" s="77" t="s">
        <v>142</v>
      </c>
      <c r="C11" s="68"/>
      <c r="D11" s="68"/>
      <c r="E11" s="68"/>
      <c r="F11" s="68"/>
      <c r="G11" s="522"/>
      <c r="H11" s="523">
        <f t="shared" si="0"/>
        <v>0</v>
      </c>
      <c r="I11" s="97">
        <f t="shared" si="1"/>
        <v>0</v>
      </c>
      <c r="J11" s="897"/>
    </row>
    <row r="12" spans="1:10" ht="15.75" customHeight="1">
      <c r="A12" s="98" t="s">
        <v>11</v>
      </c>
      <c r="B12" s="99" t="s">
        <v>595</v>
      </c>
      <c r="C12" s="69"/>
      <c r="D12" s="69"/>
      <c r="E12" s="69"/>
      <c r="F12" s="69"/>
      <c r="G12" s="524"/>
      <c r="H12" s="523">
        <f t="shared" si="0"/>
        <v>0</v>
      </c>
      <c r="I12" s="97">
        <f t="shared" si="1"/>
        <v>0</v>
      </c>
      <c r="J12" s="897"/>
    </row>
    <row r="13" spans="1:10" ht="15.75" customHeight="1" thickBot="1">
      <c r="A13" s="525" t="s">
        <v>12</v>
      </c>
      <c r="B13" s="526" t="s">
        <v>596</v>
      </c>
      <c r="C13" s="527"/>
      <c r="D13" s="527"/>
      <c r="E13" s="527"/>
      <c r="F13" s="527"/>
      <c r="G13" s="528"/>
      <c r="H13" s="523">
        <f t="shared" si="0"/>
        <v>0</v>
      </c>
      <c r="I13" s="97">
        <f t="shared" si="1"/>
        <v>0</v>
      </c>
      <c r="J13" s="897"/>
    </row>
    <row r="14" spans="1:10" s="70" customFormat="1" ht="18" customHeight="1" thickBot="1">
      <c r="A14" s="924" t="s">
        <v>597</v>
      </c>
      <c r="B14" s="925"/>
      <c r="C14" s="100">
        <f aca="true" t="shared" si="2" ref="C14:I14">SUM(C7:C13)</f>
        <v>0</v>
      </c>
      <c r="D14" s="100">
        <f>SUM(D7:D13)</f>
        <v>0</v>
      </c>
      <c r="E14" s="100">
        <f t="shared" si="2"/>
        <v>0</v>
      </c>
      <c r="F14" s="100">
        <f t="shared" si="2"/>
        <v>0</v>
      </c>
      <c r="G14" s="529">
        <f t="shared" si="2"/>
        <v>0</v>
      </c>
      <c r="H14" s="529">
        <f t="shared" si="2"/>
        <v>0</v>
      </c>
      <c r="I14" s="101">
        <f t="shared" si="2"/>
        <v>0</v>
      </c>
      <c r="J14" s="897"/>
    </row>
    <row r="15" spans="1:10" s="67" customFormat="1" ht="18" customHeight="1">
      <c r="A15" s="926" t="s">
        <v>598</v>
      </c>
      <c r="B15" s="927"/>
      <c r="C15" s="927"/>
      <c r="D15" s="927"/>
      <c r="E15" s="927"/>
      <c r="F15" s="927"/>
      <c r="G15" s="927"/>
      <c r="H15" s="927"/>
      <c r="I15" s="928"/>
      <c r="J15" s="897"/>
    </row>
    <row r="16" spans="1:10" s="67" customFormat="1" ht="12.75">
      <c r="A16" s="96" t="s">
        <v>6</v>
      </c>
      <c r="B16" s="77" t="s">
        <v>599</v>
      </c>
      <c r="C16" s="68"/>
      <c r="D16" s="68"/>
      <c r="E16" s="68"/>
      <c r="F16" s="68"/>
      <c r="G16" s="522"/>
      <c r="H16" s="523">
        <f>SUM(D16:G16)</f>
        <v>0</v>
      </c>
      <c r="I16" s="97">
        <f>C16+H16</f>
        <v>0</v>
      </c>
      <c r="J16" s="897"/>
    </row>
    <row r="17" spans="1:10" ht="13.5" thickBot="1">
      <c r="A17" s="525" t="s">
        <v>7</v>
      </c>
      <c r="B17" s="526" t="s">
        <v>596</v>
      </c>
      <c r="C17" s="527"/>
      <c r="D17" s="527"/>
      <c r="E17" s="527"/>
      <c r="F17" s="527"/>
      <c r="G17" s="528"/>
      <c r="H17" s="523">
        <f>SUM(D17:G17)</f>
        <v>0</v>
      </c>
      <c r="I17" s="530">
        <f>C17+H17</f>
        <v>0</v>
      </c>
      <c r="J17" s="897"/>
    </row>
    <row r="18" spans="1:10" ht="15.75" customHeight="1" thickBot="1">
      <c r="A18" s="924" t="s">
        <v>600</v>
      </c>
      <c r="B18" s="925"/>
      <c r="C18" s="100">
        <f aca="true" t="shared" si="3" ref="C18:I18">SUM(C16:C17)</f>
        <v>0</v>
      </c>
      <c r="D18" s="100">
        <f t="shared" si="3"/>
        <v>0</v>
      </c>
      <c r="E18" s="100">
        <f t="shared" si="3"/>
        <v>0</v>
      </c>
      <c r="F18" s="100">
        <f t="shared" si="3"/>
        <v>0</v>
      </c>
      <c r="G18" s="529">
        <f t="shared" si="3"/>
        <v>0</v>
      </c>
      <c r="H18" s="529">
        <f t="shared" si="3"/>
        <v>0</v>
      </c>
      <c r="I18" s="101">
        <f t="shared" si="3"/>
        <v>0</v>
      </c>
      <c r="J18" s="897"/>
    </row>
    <row r="19" spans="1:10" ht="18" customHeight="1" thickBot="1">
      <c r="A19" s="929" t="s">
        <v>601</v>
      </c>
      <c r="B19" s="930"/>
      <c r="C19" s="531">
        <f aca="true" t="shared" si="4" ref="C19:I19">C14+C18</f>
        <v>0</v>
      </c>
      <c r="D19" s="531">
        <f t="shared" si="4"/>
        <v>0</v>
      </c>
      <c r="E19" s="531">
        <f t="shared" si="4"/>
        <v>0</v>
      </c>
      <c r="F19" s="531">
        <f t="shared" si="4"/>
        <v>0</v>
      </c>
      <c r="G19" s="531">
        <f t="shared" si="4"/>
        <v>0</v>
      </c>
      <c r="H19" s="531">
        <f t="shared" si="4"/>
        <v>0</v>
      </c>
      <c r="I19" s="101">
        <f t="shared" si="4"/>
        <v>0</v>
      </c>
      <c r="J19" s="897"/>
    </row>
  </sheetData>
  <sheetProtection sheet="1"/>
  <mergeCells count="13">
    <mergeCell ref="A15:I15"/>
    <mergeCell ref="A18:B18"/>
    <mergeCell ref="A19:B19"/>
    <mergeCell ref="A1:I1"/>
    <mergeCell ref="J1:J19"/>
    <mergeCell ref="H2:I2"/>
    <mergeCell ref="A3:A4"/>
    <mergeCell ref="B3:B4"/>
    <mergeCell ref="C3:C4"/>
    <mergeCell ref="D3:H3"/>
    <mergeCell ref="I3:I4"/>
    <mergeCell ref="A6:I6"/>
    <mergeCell ref="A14:B14"/>
  </mergeCells>
  <printOptions horizontalCentered="1"/>
  <pageMargins left="0.5905511811023623" right="0.5905511811023623" top="1.1811023622047245" bottom="0.7874015748031497" header="0.5905511811023623" footer="0.5905511811023623"/>
  <pageSetup horizontalDpi="300" verticalDpi="300" orientation="landscape" paperSize="9" r:id="rId1"/>
  <headerFooter alignWithMargins="0">
    <oddHeader>&amp;C&amp;"Times New Roman CE,Félkövér dőlt"&amp;12
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D34"/>
  <sheetViews>
    <sheetView zoomScale="120" zoomScaleNormal="120" workbookViewId="0" topLeftCell="A1">
      <selection activeCell="C20" sqref="C20"/>
    </sheetView>
  </sheetViews>
  <sheetFormatPr defaultColWidth="9.00390625" defaultRowHeight="12.75"/>
  <cols>
    <col min="1" max="1" width="5.875" style="549" customWidth="1"/>
    <col min="2" max="2" width="55.875" style="2" customWidth="1"/>
    <col min="3" max="4" width="14.875" style="2" customWidth="1"/>
    <col min="5" max="16384" width="9.375" style="2" customWidth="1"/>
  </cols>
  <sheetData>
    <row r="1" spans="1:4" ht="15">
      <c r="A1" s="932" t="str">
        <f>CONCATENATE("5. tájékoztató tábla ",Z_ALAPADATOK!A7," ",Z_ALAPADATOK!B7," ",Z_ALAPADATOK!C7," ",Z_ALAPADATOK!D7," ",Z_ALAPADATOK!E7," ",Z_ALAPADATOK!F7," ",Z_ALAPADATOK!G7," ",Z_ALAPADATOK!H7)</f>
        <v>5. tájékoztató tábla a 2 / 2019. ( IV.26. ) önkormányzati rendelethez</v>
      </c>
      <c r="B1" s="820"/>
      <c r="C1" s="820"/>
      <c r="D1" s="820"/>
    </row>
    <row r="2" spans="1:4" ht="12.75">
      <c r="A2" s="682"/>
      <c r="B2" s="683"/>
      <c r="C2" s="683"/>
      <c r="D2" s="683"/>
    </row>
    <row r="3" spans="1:4" ht="15.75">
      <c r="A3" s="908" t="s">
        <v>796</v>
      </c>
      <c r="B3" s="889"/>
      <c r="C3" s="889"/>
      <c r="D3" s="889"/>
    </row>
    <row r="4" spans="1:4" ht="15.75">
      <c r="A4" s="908" t="s">
        <v>797</v>
      </c>
      <c r="B4" s="889"/>
      <c r="C4" s="889"/>
      <c r="D4" s="889"/>
    </row>
    <row r="5" spans="1:4" s="505" customFormat="1" ht="15.75" thickBot="1">
      <c r="A5" s="674"/>
      <c r="B5" s="402"/>
      <c r="C5" s="402"/>
      <c r="D5" s="412" t="str">
        <f>'Z_3.tájékoztató_t.'!H3</f>
        <v>Forintban</v>
      </c>
    </row>
    <row r="6" spans="1:4" s="45" customFormat="1" ht="48" customHeight="1" thickBot="1">
      <c r="A6" s="388" t="s">
        <v>4</v>
      </c>
      <c r="B6" s="395" t="s">
        <v>5</v>
      </c>
      <c r="C6" s="395" t="s">
        <v>602</v>
      </c>
      <c r="D6" s="684" t="s">
        <v>603</v>
      </c>
    </row>
    <row r="7" spans="1:4" s="45" customFormat="1" ht="13.5" customHeight="1" thickBot="1">
      <c r="A7" s="685" t="s">
        <v>388</v>
      </c>
      <c r="B7" s="686" t="s">
        <v>389</v>
      </c>
      <c r="C7" s="686" t="s">
        <v>390</v>
      </c>
      <c r="D7" s="687" t="s">
        <v>392</v>
      </c>
    </row>
    <row r="8" spans="1:4" ht="18" customHeight="1">
      <c r="A8" s="532" t="s">
        <v>6</v>
      </c>
      <c r="B8" s="533" t="s">
        <v>604</v>
      </c>
      <c r="C8" s="534"/>
      <c r="D8" s="535"/>
    </row>
    <row r="9" spans="1:4" ht="18" customHeight="1">
      <c r="A9" s="536" t="s">
        <v>7</v>
      </c>
      <c r="B9" s="537" t="s">
        <v>605</v>
      </c>
      <c r="C9" s="538"/>
      <c r="D9" s="539"/>
    </row>
    <row r="10" spans="1:4" ht="18" customHeight="1">
      <c r="A10" s="536" t="s">
        <v>8</v>
      </c>
      <c r="B10" s="537" t="s">
        <v>606</v>
      </c>
      <c r="C10" s="538"/>
      <c r="D10" s="539"/>
    </row>
    <row r="11" spans="1:4" ht="18" customHeight="1">
      <c r="A11" s="536" t="s">
        <v>9</v>
      </c>
      <c r="B11" s="537" t="s">
        <v>607</v>
      </c>
      <c r="C11" s="538"/>
      <c r="D11" s="539"/>
    </row>
    <row r="12" spans="1:4" ht="18" customHeight="1">
      <c r="A12" s="540" t="s">
        <v>10</v>
      </c>
      <c r="B12" s="537" t="s">
        <v>608</v>
      </c>
      <c r="C12" s="539">
        <f>SUM(C13:C18)</f>
        <v>636610</v>
      </c>
      <c r="D12" s="539">
        <f>SUM(D13:D18)</f>
        <v>510000</v>
      </c>
    </row>
    <row r="13" spans="1:4" ht="18" customHeight="1">
      <c r="A13" s="536" t="s">
        <v>11</v>
      </c>
      <c r="B13" s="537" t="s">
        <v>609</v>
      </c>
      <c r="C13" s="538"/>
      <c r="D13" s="539"/>
    </row>
    <row r="14" spans="1:4" ht="18" customHeight="1">
      <c r="A14" s="540" t="s">
        <v>12</v>
      </c>
      <c r="B14" s="541" t="s">
        <v>610</v>
      </c>
      <c r="C14" s="538"/>
      <c r="D14" s="539"/>
    </row>
    <row r="15" spans="1:4" ht="18" customHeight="1">
      <c r="A15" s="540" t="s">
        <v>13</v>
      </c>
      <c r="B15" s="541" t="s">
        <v>611</v>
      </c>
      <c r="C15" s="538"/>
      <c r="D15" s="539"/>
    </row>
    <row r="16" spans="1:4" ht="18" customHeight="1">
      <c r="A16" s="536" t="s">
        <v>14</v>
      </c>
      <c r="B16" s="541" t="s">
        <v>612</v>
      </c>
      <c r="C16" s="538"/>
      <c r="D16" s="539"/>
    </row>
    <row r="17" spans="1:4" ht="18" customHeight="1">
      <c r="A17" s="540" t="s">
        <v>15</v>
      </c>
      <c r="B17" s="541" t="s">
        <v>613</v>
      </c>
      <c r="C17" s="538"/>
      <c r="D17" s="539"/>
    </row>
    <row r="18" spans="1:4" ht="22.5">
      <c r="A18" s="536" t="s">
        <v>16</v>
      </c>
      <c r="B18" s="541" t="s">
        <v>614</v>
      </c>
      <c r="C18" s="538">
        <v>636610</v>
      </c>
      <c r="D18" s="539">
        <v>510000</v>
      </c>
    </row>
    <row r="19" spans="1:4" ht="18" customHeight="1">
      <c r="A19" s="540" t="s">
        <v>17</v>
      </c>
      <c r="B19" s="537" t="s">
        <v>615</v>
      </c>
      <c r="C19" s="538">
        <v>180000</v>
      </c>
      <c r="D19" s="539">
        <v>140000</v>
      </c>
    </row>
    <row r="20" spans="1:4" ht="18" customHeight="1">
      <c r="A20" s="536" t="s">
        <v>18</v>
      </c>
      <c r="B20" s="537" t="s">
        <v>616</v>
      </c>
      <c r="C20" s="538"/>
      <c r="D20" s="539"/>
    </row>
    <row r="21" spans="1:4" ht="18" customHeight="1">
      <c r="A21" s="540" t="s">
        <v>19</v>
      </c>
      <c r="B21" s="537" t="s">
        <v>617</v>
      </c>
      <c r="C21" s="538"/>
      <c r="D21" s="539"/>
    </row>
    <row r="22" spans="1:4" ht="18" customHeight="1">
      <c r="A22" s="536" t="s">
        <v>20</v>
      </c>
      <c r="B22" s="537" t="s">
        <v>618</v>
      </c>
      <c r="C22" s="538"/>
      <c r="D22" s="539"/>
    </row>
    <row r="23" spans="1:4" ht="18" customHeight="1">
      <c r="A23" s="540" t="s">
        <v>21</v>
      </c>
      <c r="B23" s="537" t="s">
        <v>619</v>
      </c>
      <c r="C23" s="538"/>
      <c r="D23" s="539"/>
    </row>
    <row r="24" spans="1:4" ht="18" customHeight="1">
      <c r="A24" s="536" t="s">
        <v>22</v>
      </c>
      <c r="B24" s="542"/>
      <c r="C24" s="538"/>
      <c r="D24" s="539"/>
    </row>
    <row r="25" spans="1:4" ht="18" customHeight="1">
      <c r="A25" s="540" t="s">
        <v>23</v>
      </c>
      <c r="B25" s="542"/>
      <c r="C25" s="538"/>
      <c r="D25" s="539"/>
    </row>
    <row r="26" spans="1:4" ht="18" customHeight="1">
      <c r="A26" s="536" t="s">
        <v>24</v>
      </c>
      <c r="B26" s="542"/>
      <c r="C26" s="538"/>
      <c r="D26" s="539"/>
    </row>
    <row r="27" spans="1:4" ht="18" customHeight="1">
      <c r="A27" s="540" t="s">
        <v>25</v>
      </c>
      <c r="B27" s="542"/>
      <c r="C27" s="538"/>
      <c r="D27" s="539"/>
    </row>
    <row r="28" spans="1:4" ht="18" customHeight="1">
      <c r="A28" s="536" t="s">
        <v>26</v>
      </c>
      <c r="B28" s="542"/>
      <c r="C28" s="538"/>
      <c r="D28" s="539"/>
    </row>
    <row r="29" spans="1:4" ht="18" customHeight="1">
      <c r="A29" s="540" t="s">
        <v>27</v>
      </c>
      <c r="B29" s="542"/>
      <c r="C29" s="538"/>
      <c r="D29" s="539"/>
    </row>
    <row r="30" spans="1:4" ht="18" customHeight="1">
      <c r="A30" s="536" t="s">
        <v>28</v>
      </c>
      <c r="B30" s="542"/>
      <c r="C30" s="538"/>
      <c r="D30" s="539"/>
    </row>
    <row r="31" spans="1:4" ht="18" customHeight="1">
      <c r="A31" s="540" t="s">
        <v>29</v>
      </c>
      <c r="B31" s="542"/>
      <c r="C31" s="538"/>
      <c r="D31" s="539"/>
    </row>
    <row r="32" spans="1:4" ht="18" customHeight="1" thickBot="1">
      <c r="A32" s="543" t="s">
        <v>30</v>
      </c>
      <c r="B32" s="544"/>
      <c r="C32" s="545"/>
      <c r="D32" s="546"/>
    </row>
    <row r="33" spans="1:4" ht="18" customHeight="1" thickBot="1">
      <c r="A33" s="547" t="s">
        <v>31</v>
      </c>
      <c r="B33" s="681" t="s">
        <v>38</v>
      </c>
      <c r="C33" s="512">
        <f>+C8+C9+C10+C11+C12+C19+C20+C21+C22+C23+C24+C25+C26+C27+C28+C29+C30+C31+C32</f>
        <v>816610</v>
      </c>
      <c r="D33" s="513">
        <f>+D8+D9+D10+D11+D12+D19+D20+D21+D22+D23+D24+D25+D26+D27+D28+D29+D30+D31+D32</f>
        <v>650000</v>
      </c>
    </row>
    <row r="34" spans="1:4" ht="25.5" customHeight="1">
      <c r="A34" s="548"/>
      <c r="B34" s="931" t="s">
        <v>620</v>
      </c>
      <c r="C34" s="931"/>
      <c r="D34" s="931"/>
    </row>
  </sheetData>
  <sheetProtection/>
  <mergeCells count="4">
    <mergeCell ref="B34:D34"/>
    <mergeCell ref="A1:D1"/>
    <mergeCell ref="A3:D3"/>
    <mergeCell ref="A4:D4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E41"/>
  <sheetViews>
    <sheetView zoomScale="120" zoomScaleNormal="120" workbookViewId="0" topLeftCell="A1">
      <selection activeCell="J35" sqref="J35"/>
    </sheetView>
  </sheetViews>
  <sheetFormatPr defaultColWidth="9.00390625" defaultRowHeight="12.75"/>
  <cols>
    <col min="1" max="1" width="6.625" style="31" customWidth="1"/>
    <col min="2" max="2" width="40.875" style="31" customWidth="1"/>
    <col min="3" max="3" width="20.875" style="31" customWidth="1"/>
    <col min="4" max="5" width="12.875" style="31" customWidth="1"/>
    <col min="6" max="16384" width="9.375" style="31" customWidth="1"/>
  </cols>
  <sheetData>
    <row r="1" spans="1:5" ht="15">
      <c r="A1" s="935" t="str">
        <f>CONCATENATE("6. tájékoztató tábla ",Z_ALAPADATOK!A7," ",Z_ALAPADATOK!B7," ",Z_ALAPADATOK!C7," ",Z_ALAPADATOK!D7," ",Z_ALAPADATOK!E7," ",Z_ALAPADATOK!F7," ",Z_ALAPADATOK!G7," ",Z_ALAPADATOK!H7)</f>
        <v>6. tájékoztató tábla a 2 / 2019. ( IV.26. ) önkormányzati rendelethez</v>
      </c>
      <c r="B1" s="935"/>
      <c r="C1" s="935"/>
      <c r="D1" s="935"/>
      <c r="E1" s="935"/>
    </row>
    <row r="2" spans="1:5" ht="12.75">
      <c r="A2" s="67"/>
      <c r="B2" s="67"/>
      <c r="C2" s="67"/>
      <c r="D2" s="67"/>
      <c r="E2" s="67"/>
    </row>
    <row r="3" spans="1:5" ht="15.75">
      <c r="A3" s="826" t="s">
        <v>798</v>
      </c>
      <c r="B3" s="826"/>
      <c r="C3" s="826"/>
      <c r="D3" s="826"/>
      <c r="E3" s="826"/>
    </row>
    <row r="4" spans="1:5" ht="15.75">
      <c r="A4" s="826" t="s">
        <v>882</v>
      </c>
      <c r="B4" s="826"/>
      <c r="C4" s="826"/>
      <c r="D4" s="826"/>
      <c r="E4" s="826"/>
    </row>
    <row r="5" spans="1:5" ht="12.75">
      <c r="A5" s="67"/>
      <c r="B5" s="67"/>
      <c r="C5" s="67"/>
      <c r="D5" s="67"/>
      <c r="E5" s="67"/>
    </row>
    <row r="6" spans="1:5" ht="14.25" thickBot="1">
      <c r="A6" s="67"/>
      <c r="B6" s="67"/>
      <c r="C6" s="688"/>
      <c r="D6" s="688"/>
      <c r="E6" s="688" t="str">
        <f>'Z_5.tájékoztató_t.'!D5</f>
        <v>Forintban</v>
      </c>
    </row>
    <row r="7" spans="1:5" ht="42.75" customHeight="1" thickBot="1">
      <c r="A7" s="689" t="s">
        <v>52</v>
      </c>
      <c r="B7" s="690" t="s">
        <v>621</v>
      </c>
      <c r="C7" s="690" t="s">
        <v>622</v>
      </c>
      <c r="D7" s="691" t="s">
        <v>623</v>
      </c>
      <c r="E7" s="692" t="s">
        <v>624</v>
      </c>
    </row>
    <row r="8" spans="1:5" ht="15.75" customHeight="1">
      <c r="A8" s="550" t="s">
        <v>6</v>
      </c>
      <c r="B8" s="551" t="s">
        <v>916</v>
      </c>
      <c r="C8" s="551" t="s">
        <v>915</v>
      </c>
      <c r="D8" s="552"/>
      <c r="E8" s="553">
        <v>40000</v>
      </c>
    </row>
    <row r="9" spans="1:5" ht="15.75" customHeight="1">
      <c r="A9" s="554" t="s">
        <v>7</v>
      </c>
      <c r="B9" s="555" t="s">
        <v>917</v>
      </c>
      <c r="C9" s="555" t="s">
        <v>915</v>
      </c>
      <c r="D9" s="556"/>
      <c r="E9" s="557">
        <v>13202259</v>
      </c>
    </row>
    <row r="10" spans="1:5" ht="15.75" customHeight="1">
      <c r="A10" s="554" t="s">
        <v>8</v>
      </c>
      <c r="B10" s="555" t="s">
        <v>918</v>
      </c>
      <c r="C10" s="555" t="s">
        <v>915</v>
      </c>
      <c r="D10" s="556"/>
      <c r="E10" s="557">
        <v>20000</v>
      </c>
    </row>
    <row r="11" spans="1:5" ht="15.75" customHeight="1">
      <c r="A11" s="554" t="s">
        <v>9</v>
      </c>
      <c r="B11" s="555" t="s">
        <v>919</v>
      </c>
      <c r="C11" s="555" t="s">
        <v>915</v>
      </c>
      <c r="D11" s="556"/>
      <c r="E11" s="557">
        <v>100000</v>
      </c>
    </row>
    <row r="12" spans="1:5" ht="15.75" customHeight="1">
      <c r="A12" s="554" t="s">
        <v>10</v>
      </c>
      <c r="B12" s="555" t="s">
        <v>920</v>
      </c>
      <c r="C12" s="555" t="s">
        <v>915</v>
      </c>
      <c r="D12" s="556"/>
      <c r="E12" s="557">
        <v>620000</v>
      </c>
    </row>
    <row r="13" spans="1:5" ht="15.75" customHeight="1">
      <c r="A13" s="554" t="s">
        <v>11</v>
      </c>
      <c r="B13" s="555" t="s">
        <v>921</v>
      </c>
      <c r="C13" s="555" t="s">
        <v>915</v>
      </c>
      <c r="D13" s="556"/>
      <c r="E13" s="557">
        <v>750000</v>
      </c>
    </row>
    <row r="14" spans="1:5" ht="15.75" customHeight="1">
      <c r="A14" s="554" t="s">
        <v>12</v>
      </c>
      <c r="B14" s="555" t="s">
        <v>922</v>
      </c>
      <c r="C14" s="555" t="s">
        <v>915</v>
      </c>
      <c r="D14" s="556"/>
      <c r="E14" s="557">
        <v>50000</v>
      </c>
    </row>
    <row r="15" spans="1:5" ht="15.75" customHeight="1">
      <c r="A15" s="554" t="s">
        <v>13</v>
      </c>
      <c r="B15" s="555" t="s">
        <v>923</v>
      </c>
      <c r="C15" s="555" t="s">
        <v>915</v>
      </c>
      <c r="D15" s="556"/>
      <c r="E15" s="557">
        <v>80000</v>
      </c>
    </row>
    <row r="16" spans="1:5" ht="15.75" customHeight="1">
      <c r="A16" s="554"/>
      <c r="B16" s="936" t="s">
        <v>38</v>
      </c>
      <c r="C16" s="937"/>
      <c r="D16" s="938"/>
      <c r="E16" s="774">
        <f>SUM(E8:E15)</f>
        <v>14862259</v>
      </c>
    </row>
    <row r="17" spans="1:5" ht="15.75" customHeight="1">
      <c r="A17" s="554" t="s">
        <v>6</v>
      </c>
      <c r="B17" s="555" t="s">
        <v>910</v>
      </c>
      <c r="C17" s="555" t="s">
        <v>911</v>
      </c>
      <c r="D17" s="556"/>
      <c r="E17" s="557">
        <v>1195000</v>
      </c>
    </row>
    <row r="18" spans="1:5" ht="39" customHeight="1">
      <c r="A18" s="554" t="s">
        <v>7</v>
      </c>
      <c r="B18" s="555" t="s">
        <v>912</v>
      </c>
      <c r="C18" s="773" t="s">
        <v>913</v>
      </c>
      <c r="D18" s="556"/>
      <c r="E18" s="557">
        <v>555000</v>
      </c>
    </row>
    <row r="19" spans="1:5" ht="15.75" customHeight="1">
      <c r="A19" s="554" t="s">
        <v>8</v>
      </c>
      <c r="B19" s="555" t="s">
        <v>914</v>
      </c>
      <c r="C19" s="555" t="s">
        <v>911</v>
      </c>
      <c r="D19" s="556"/>
      <c r="E19" s="557">
        <v>3080000</v>
      </c>
    </row>
    <row r="20" spans="1:5" ht="15.75" customHeight="1">
      <c r="A20" s="939" t="s">
        <v>38</v>
      </c>
      <c r="B20" s="940"/>
      <c r="C20" s="940"/>
      <c r="D20" s="941"/>
      <c r="E20" s="774">
        <f>SUM(E17:E19)</f>
        <v>4830000</v>
      </c>
    </row>
    <row r="21" spans="1:5" ht="15.75" customHeight="1">
      <c r="A21" s="942" t="s">
        <v>924</v>
      </c>
      <c r="B21" s="943"/>
      <c r="C21" s="943"/>
      <c r="D21" s="944"/>
      <c r="E21" s="775">
        <f>SUM(E20,E16)</f>
        <v>19692259</v>
      </c>
    </row>
    <row r="22" spans="1:5" ht="15.75" customHeight="1">
      <c r="A22" s="554" t="s">
        <v>20</v>
      </c>
      <c r="B22" s="555"/>
      <c r="C22" s="555"/>
      <c r="D22" s="556"/>
      <c r="E22" s="557"/>
    </row>
    <row r="23" spans="1:5" ht="15.75" customHeight="1">
      <c r="A23" s="554" t="s">
        <v>21</v>
      </c>
      <c r="B23" s="555"/>
      <c r="C23" s="555"/>
      <c r="D23" s="556"/>
      <c r="E23" s="557"/>
    </row>
    <row r="24" spans="1:5" ht="15.75" customHeight="1">
      <c r="A24" s="554" t="s">
        <v>22</v>
      </c>
      <c r="B24" s="555"/>
      <c r="C24" s="555"/>
      <c r="D24" s="556"/>
      <c r="E24" s="557"/>
    </row>
    <row r="25" spans="1:5" ht="15.75" customHeight="1">
      <c r="A25" s="554" t="s">
        <v>23</v>
      </c>
      <c r="B25" s="555"/>
      <c r="C25" s="555"/>
      <c r="D25" s="556"/>
      <c r="E25" s="557"/>
    </row>
    <row r="26" spans="1:5" ht="15.75" customHeight="1">
      <c r="A26" s="554" t="s">
        <v>24</v>
      </c>
      <c r="B26" s="555"/>
      <c r="C26" s="555"/>
      <c r="D26" s="556"/>
      <c r="E26" s="557"/>
    </row>
    <row r="27" spans="1:5" ht="15.75" customHeight="1">
      <c r="A27" s="554" t="s">
        <v>25</v>
      </c>
      <c r="B27" s="555"/>
      <c r="C27" s="555"/>
      <c r="D27" s="556"/>
      <c r="E27" s="557"/>
    </row>
    <row r="28" spans="1:5" ht="15.75" customHeight="1">
      <c r="A28" s="554" t="s">
        <v>26</v>
      </c>
      <c r="B28" s="555"/>
      <c r="C28" s="555"/>
      <c r="D28" s="556"/>
      <c r="E28" s="557"/>
    </row>
    <row r="29" spans="1:5" ht="15.75" customHeight="1">
      <c r="A29" s="554" t="s">
        <v>27</v>
      </c>
      <c r="B29" s="555"/>
      <c r="C29" s="555"/>
      <c r="D29" s="556"/>
      <c r="E29" s="557"/>
    </row>
    <row r="30" spans="1:5" ht="15.75" customHeight="1">
      <c r="A30" s="554" t="s">
        <v>28</v>
      </c>
      <c r="B30" s="555"/>
      <c r="C30" s="555"/>
      <c r="D30" s="556"/>
      <c r="E30" s="557"/>
    </row>
    <row r="31" spans="1:5" ht="15.75" customHeight="1">
      <c r="A31" s="554" t="s">
        <v>29</v>
      </c>
      <c r="B31" s="555"/>
      <c r="C31" s="555"/>
      <c r="D31" s="556"/>
      <c r="E31" s="557"/>
    </row>
    <row r="32" spans="1:5" ht="15.75" customHeight="1">
      <c r="A32" s="554" t="s">
        <v>30</v>
      </c>
      <c r="B32" s="555"/>
      <c r="C32" s="555"/>
      <c r="D32" s="556"/>
      <c r="E32" s="557"/>
    </row>
    <row r="33" spans="1:5" ht="15.75" customHeight="1">
      <c r="A33" s="554" t="s">
        <v>31</v>
      </c>
      <c r="B33" s="555"/>
      <c r="C33" s="555"/>
      <c r="D33" s="556"/>
      <c r="E33" s="557"/>
    </row>
    <row r="34" spans="1:5" ht="15.75" customHeight="1">
      <c r="A34" s="554" t="s">
        <v>32</v>
      </c>
      <c r="B34" s="555"/>
      <c r="C34" s="555"/>
      <c r="D34" s="556"/>
      <c r="E34" s="557"/>
    </row>
    <row r="35" spans="1:5" ht="15.75" customHeight="1">
      <c r="A35" s="554" t="s">
        <v>33</v>
      </c>
      <c r="B35" s="555"/>
      <c r="C35" s="555"/>
      <c r="D35" s="556"/>
      <c r="E35" s="557"/>
    </row>
    <row r="36" spans="1:5" ht="15.75" customHeight="1">
      <c r="A36" s="554" t="s">
        <v>625</v>
      </c>
      <c r="B36" s="555"/>
      <c r="C36" s="555"/>
      <c r="D36" s="556"/>
      <c r="E36" s="557"/>
    </row>
    <row r="37" spans="1:5" ht="15.75" customHeight="1">
      <c r="A37" s="554" t="s">
        <v>626</v>
      </c>
      <c r="B37" s="555"/>
      <c r="C37" s="555"/>
      <c r="D37" s="556"/>
      <c r="E37" s="557"/>
    </row>
    <row r="38" spans="1:5" ht="15.75" customHeight="1">
      <c r="A38" s="554" t="s">
        <v>627</v>
      </c>
      <c r="B38" s="555"/>
      <c r="C38" s="555"/>
      <c r="D38" s="556"/>
      <c r="E38" s="557"/>
    </row>
    <row r="39" spans="1:5" ht="15.75" customHeight="1">
      <c r="A39" s="554" t="s">
        <v>628</v>
      </c>
      <c r="B39" s="555"/>
      <c r="C39" s="555"/>
      <c r="D39" s="556"/>
      <c r="E39" s="557"/>
    </row>
    <row r="40" spans="1:5" ht="15.75" customHeight="1" thickBot="1">
      <c r="A40" s="558" t="s">
        <v>629</v>
      </c>
      <c r="B40" s="559"/>
      <c r="C40" s="559"/>
      <c r="D40" s="560"/>
      <c r="E40" s="561"/>
    </row>
    <row r="41" spans="1:5" ht="15.75" customHeight="1" thickBot="1">
      <c r="A41" s="933" t="s">
        <v>38</v>
      </c>
      <c r="B41" s="934"/>
      <c r="C41" s="776"/>
      <c r="D41" s="777">
        <f>SUM(D8:D40)</f>
        <v>0</v>
      </c>
      <c r="E41" s="778">
        <f>SUM(E16+E20)</f>
        <v>19692259</v>
      </c>
    </row>
  </sheetData>
  <sheetProtection/>
  <mergeCells count="7">
    <mergeCell ref="A41:B41"/>
    <mergeCell ref="A1:E1"/>
    <mergeCell ref="A4:E4"/>
    <mergeCell ref="A3:E3"/>
    <mergeCell ref="B16:D16"/>
    <mergeCell ref="A20:D20"/>
    <mergeCell ref="A21:D21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E76"/>
  <sheetViews>
    <sheetView zoomScale="120" zoomScaleNormal="120" zoomScaleSheetLayoutView="120" workbookViewId="0" topLeftCell="A1">
      <selection activeCell="C71" sqref="C71"/>
    </sheetView>
  </sheetViews>
  <sheetFormatPr defaultColWidth="12.00390625" defaultRowHeight="12.75"/>
  <cols>
    <col min="1" max="1" width="67.125" style="562" customWidth="1"/>
    <col min="2" max="2" width="6.125" style="563" customWidth="1"/>
    <col min="3" max="4" width="12.125" style="562" customWidth="1"/>
    <col min="5" max="5" width="12.125" style="589" customWidth="1"/>
    <col min="6" max="16384" width="12.00390625" style="562" customWidth="1"/>
  </cols>
  <sheetData>
    <row r="1" spans="1:5" ht="15.75">
      <c r="A1" s="958" t="str">
        <f>CONCATENATE("7.1. tájékoztató tábla ",Z_ALAPADATOK!A7," ",Z_ALAPADATOK!B7," ",Z_ALAPADATOK!C7," ",Z_ALAPADATOK!D7," ",Z_ALAPADATOK!E7," ",Z_ALAPADATOK!F7," ",Z_ALAPADATOK!G7," ",Z_ALAPADATOK!H7)</f>
        <v>7.1. tájékoztató tábla a 2 / 2019. ( IV.26. ) önkormányzati rendelethez</v>
      </c>
      <c r="B1" s="796"/>
      <c r="C1" s="796"/>
      <c r="D1" s="796"/>
      <c r="E1" s="796"/>
    </row>
    <row r="2" spans="1:5" ht="15.75">
      <c r="A2" s="959" t="s">
        <v>802</v>
      </c>
      <c r="B2" s="960"/>
      <c r="C2" s="960"/>
      <c r="D2" s="960"/>
      <c r="E2" s="960"/>
    </row>
    <row r="3" spans="1:5" ht="16.5" customHeight="1">
      <c r="A3" s="959" t="s">
        <v>803</v>
      </c>
      <c r="B3" s="960"/>
      <c r="C3" s="960"/>
      <c r="D3" s="960"/>
      <c r="E3" s="960"/>
    </row>
    <row r="4" spans="1:5" ht="16.5" customHeight="1">
      <c r="A4" s="961" t="s">
        <v>889</v>
      </c>
      <c r="B4" s="962"/>
      <c r="C4" s="962"/>
      <c r="D4" s="962"/>
      <c r="E4" s="962"/>
    </row>
    <row r="5" spans="1:5" ht="16.5" customHeight="1" thickBot="1">
      <c r="A5" s="693"/>
      <c r="B5" s="694"/>
      <c r="C5" s="963" t="str">
        <f>'Z_6.tájékoztató_t.'!E6</f>
        <v>Forintban</v>
      </c>
      <c r="D5" s="963"/>
      <c r="E5" s="963"/>
    </row>
    <row r="6" spans="1:5" ht="15.75" customHeight="1">
      <c r="A6" s="945" t="s">
        <v>630</v>
      </c>
      <c r="B6" s="948" t="s">
        <v>631</v>
      </c>
      <c r="C6" s="951" t="s">
        <v>632</v>
      </c>
      <c r="D6" s="951" t="s">
        <v>633</v>
      </c>
      <c r="E6" s="953" t="s">
        <v>634</v>
      </c>
    </row>
    <row r="7" spans="1:5" ht="11.25" customHeight="1">
      <c r="A7" s="946"/>
      <c r="B7" s="949"/>
      <c r="C7" s="952"/>
      <c r="D7" s="952"/>
      <c r="E7" s="954"/>
    </row>
    <row r="8" spans="1:5" ht="15.75">
      <c r="A8" s="947"/>
      <c r="B8" s="950"/>
      <c r="C8" s="955" t="s">
        <v>635</v>
      </c>
      <c r="D8" s="955"/>
      <c r="E8" s="956"/>
    </row>
    <row r="9" spans="1:5" s="564" customFormat="1" ht="16.5" thickBot="1">
      <c r="A9" s="695" t="s">
        <v>636</v>
      </c>
      <c r="B9" s="696" t="s">
        <v>389</v>
      </c>
      <c r="C9" s="696" t="s">
        <v>390</v>
      </c>
      <c r="D9" s="696" t="s">
        <v>392</v>
      </c>
      <c r="E9" s="697" t="s">
        <v>391</v>
      </c>
    </row>
    <row r="10" spans="1:5" s="569" customFormat="1" ht="15.75">
      <c r="A10" s="565" t="s">
        <v>637</v>
      </c>
      <c r="B10" s="566" t="s">
        <v>638</v>
      </c>
      <c r="C10" s="567">
        <v>47963054</v>
      </c>
      <c r="D10" s="567"/>
      <c r="E10" s="568"/>
    </row>
    <row r="11" spans="1:5" s="569" customFormat="1" ht="15.75">
      <c r="A11" s="570" t="s">
        <v>639</v>
      </c>
      <c r="B11" s="571" t="s">
        <v>640</v>
      </c>
      <c r="C11" s="572">
        <f>+C12+C17+C22+C27+C32</f>
        <v>2655107715</v>
      </c>
      <c r="D11" s="572">
        <f>+D12+D17+D22+D27+D32</f>
        <v>0</v>
      </c>
      <c r="E11" s="573">
        <f>+E12+E17+E22+E27+E32</f>
        <v>0</v>
      </c>
    </row>
    <row r="12" spans="1:5" s="569" customFormat="1" ht="15.75">
      <c r="A12" s="570" t="s">
        <v>641</v>
      </c>
      <c r="B12" s="571" t="s">
        <v>642</v>
      </c>
      <c r="C12" s="572">
        <f>+C13+C14+C15+C16</f>
        <v>2183719934</v>
      </c>
      <c r="D12" s="572">
        <f>+D13+D14+D15+D16</f>
        <v>0</v>
      </c>
      <c r="E12" s="573">
        <f>+E13+E14+E15+E16</f>
        <v>0</v>
      </c>
    </row>
    <row r="13" spans="1:5" s="569" customFormat="1" ht="15.75">
      <c r="A13" s="574" t="s">
        <v>643</v>
      </c>
      <c r="B13" s="571" t="s">
        <v>644</v>
      </c>
      <c r="C13" s="575">
        <v>498029523</v>
      </c>
      <c r="D13" s="575"/>
      <c r="E13" s="576"/>
    </row>
    <row r="14" spans="1:5" s="569" customFormat="1" ht="26.25" customHeight="1">
      <c r="A14" s="574" t="s">
        <v>645</v>
      </c>
      <c r="B14" s="571" t="s">
        <v>646</v>
      </c>
      <c r="C14" s="577"/>
      <c r="D14" s="577"/>
      <c r="E14" s="578"/>
    </row>
    <row r="15" spans="1:5" s="569" customFormat="1" ht="22.5">
      <c r="A15" s="574" t="s">
        <v>647</v>
      </c>
      <c r="B15" s="571" t="s">
        <v>648</v>
      </c>
      <c r="C15" s="577">
        <v>1621843574</v>
      </c>
      <c r="D15" s="577"/>
      <c r="E15" s="578"/>
    </row>
    <row r="16" spans="1:5" s="569" customFormat="1" ht="15.75">
      <c r="A16" s="574" t="s">
        <v>649</v>
      </c>
      <c r="B16" s="571" t="s">
        <v>650</v>
      </c>
      <c r="C16" s="577">
        <v>63846837</v>
      </c>
      <c r="D16" s="577"/>
      <c r="E16" s="578"/>
    </row>
    <row r="17" spans="1:5" s="569" customFormat="1" ht="15.75">
      <c r="A17" s="570" t="s">
        <v>651</v>
      </c>
      <c r="B17" s="571" t="s">
        <v>652</v>
      </c>
      <c r="C17" s="579">
        <f>+C18+C19+C20+C21</f>
        <v>108779875</v>
      </c>
      <c r="D17" s="579">
        <f>+D18+D19+D20+D21</f>
        <v>0</v>
      </c>
      <c r="E17" s="580">
        <f>+E18+E19+E20+E21</f>
        <v>0</v>
      </c>
    </row>
    <row r="18" spans="1:5" s="569" customFormat="1" ht="15.75">
      <c r="A18" s="574" t="s">
        <v>653</v>
      </c>
      <c r="B18" s="571" t="s">
        <v>654</v>
      </c>
      <c r="C18" s="577"/>
      <c r="D18" s="577"/>
      <c r="E18" s="578"/>
    </row>
    <row r="19" spans="1:5" s="569" customFormat="1" ht="22.5">
      <c r="A19" s="574" t="s">
        <v>655</v>
      </c>
      <c r="B19" s="571" t="s">
        <v>15</v>
      </c>
      <c r="C19" s="577"/>
      <c r="D19" s="577"/>
      <c r="E19" s="578"/>
    </row>
    <row r="20" spans="1:5" s="569" customFormat="1" ht="15.75">
      <c r="A20" s="574" t="s">
        <v>656</v>
      </c>
      <c r="B20" s="571" t="s">
        <v>16</v>
      </c>
      <c r="C20" s="577">
        <v>108779875</v>
      </c>
      <c r="D20" s="577"/>
      <c r="E20" s="578"/>
    </row>
    <row r="21" spans="1:5" s="569" customFormat="1" ht="15.75">
      <c r="A21" s="574" t="s">
        <v>657</v>
      </c>
      <c r="B21" s="571" t="s">
        <v>17</v>
      </c>
      <c r="C21" s="577"/>
      <c r="D21" s="577"/>
      <c r="E21" s="578"/>
    </row>
    <row r="22" spans="1:5" s="569" customFormat="1" ht="15.75">
      <c r="A22" s="570" t="s">
        <v>658</v>
      </c>
      <c r="B22" s="571" t="s">
        <v>18</v>
      </c>
      <c r="C22" s="579">
        <f>+C23+C24+C25+C26</f>
        <v>0</v>
      </c>
      <c r="D22" s="579">
        <f>+D23+D24+D25+D26</f>
        <v>0</v>
      </c>
      <c r="E22" s="580">
        <f>+E23+E24+E25+E26</f>
        <v>0</v>
      </c>
    </row>
    <row r="23" spans="1:5" s="569" customFormat="1" ht="15.75">
      <c r="A23" s="574" t="s">
        <v>659</v>
      </c>
      <c r="B23" s="571" t="s">
        <v>19</v>
      </c>
      <c r="C23" s="577"/>
      <c r="D23" s="577"/>
      <c r="E23" s="578"/>
    </row>
    <row r="24" spans="1:5" s="569" customFormat="1" ht="15.75">
      <c r="A24" s="574" t="s">
        <v>660</v>
      </c>
      <c r="B24" s="571" t="s">
        <v>20</v>
      </c>
      <c r="C24" s="577"/>
      <c r="D24" s="577"/>
      <c r="E24" s="578"/>
    </row>
    <row r="25" spans="1:5" s="569" customFormat="1" ht="15.75">
      <c r="A25" s="574" t="s">
        <v>661</v>
      </c>
      <c r="B25" s="571" t="s">
        <v>21</v>
      </c>
      <c r="C25" s="577"/>
      <c r="D25" s="577"/>
      <c r="E25" s="578"/>
    </row>
    <row r="26" spans="1:5" s="569" customFormat="1" ht="15.75">
      <c r="A26" s="574" t="s">
        <v>662</v>
      </c>
      <c r="B26" s="571" t="s">
        <v>22</v>
      </c>
      <c r="C26" s="577"/>
      <c r="D26" s="577"/>
      <c r="E26" s="578"/>
    </row>
    <row r="27" spans="1:5" s="569" customFormat="1" ht="15.75">
      <c r="A27" s="570" t="s">
        <v>663</v>
      </c>
      <c r="B27" s="571" t="s">
        <v>23</v>
      </c>
      <c r="C27" s="579">
        <f>+C28+C29+C30+C31</f>
        <v>362607906</v>
      </c>
      <c r="D27" s="579">
        <f>+D28+D29+D30+D31</f>
        <v>0</v>
      </c>
      <c r="E27" s="580">
        <f>+E28+E29+E30+E31</f>
        <v>0</v>
      </c>
    </row>
    <row r="28" spans="1:5" s="569" customFormat="1" ht="15.75">
      <c r="A28" s="574" t="s">
        <v>664</v>
      </c>
      <c r="B28" s="571" t="s">
        <v>24</v>
      </c>
      <c r="C28" s="577">
        <v>362607906</v>
      </c>
      <c r="D28" s="577"/>
      <c r="E28" s="578"/>
    </row>
    <row r="29" spans="1:5" s="569" customFormat="1" ht="15.75">
      <c r="A29" s="574" t="s">
        <v>665</v>
      </c>
      <c r="B29" s="571" t="s">
        <v>25</v>
      </c>
      <c r="C29" s="577"/>
      <c r="D29" s="577"/>
      <c r="E29" s="578"/>
    </row>
    <row r="30" spans="1:5" s="569" customFormat="1" ht="15.75">
      <c r="A30" s="574" t="s">
        <v>666</v>
      </c>
      <c r="B30" s="571" t="s">
        <v>26</v>
      </c>
      <c r="C30" s="577"/>
      <c r="D30" s="577"/>
      <c r="E30" s="578"/>
    </row>
    <row r="31" spans="1:5" s="569" customFormat="1" ht="15.75">
      <c r="A31" s="574" t="s">
        <v>667</v>
      </c>
      <c r="B31" s="571" t="s">
        <v>27</v>
      </c>
      <c r="C31" s="577"/>
      <c r="D31" s="577"/>
      <c r="E31" s="578"/>
    </row>
    <row r="32" spans="1:5" s="569" customFormat="1" ht="15.75">
      <c r="A32" s="570" t="s">
        <v>668</v>
      </c>
      <c r="B32" s="571" t="s">
        <v>28</v>
      </c>
      <c r="C32" s="579">
        <f>+C33+C34+C35+C36</f>
        <v>0</v>
      </c>
      <c r="D32" s="579">
        <f>+D33+D34+D35+D36</f>
        <v>0</v>
      </c>
      <c r="E32" s="580">
        <f>+E33+E34+E35+E36</f>
        <v>0</v>
      </c>
    </row>
    <row r="33" spans="1:5" s="569" customFormat="1" ht="15.75">
      <c r="A33" s="574" t="s">
        <v>669</v>
      </c>
      <c r="B33" s="571" t="s">
        <v>29</v>
      </c>
      <c r="C33" s="577"/>
      <c r="D33" s="577"/>
      <c r="E33" s="578"/>
    </row>
    <row r="34" spans="1:5" s="569" customFormat="1" ht="22.5">
      <c r="A34" s="574" t="s">
        <v>670</v>
      </c>
      <c r="B34" s="571" t="s">
        <v>30</v>
      </c>
      <c r="C34" s="577"/>
      <c r="D34" s="577"/>
      <c r="E34" s="578"/>
    </row>
    <row r="35" spans="1:5" s="569" customFormat="1" ht="15.75">
      <c r="A35" s="574" t="s">
        <v>671</v>
      </c>
      <c r="B35" s="571" t="s">
        <v>31</v>
      </c>
      <c r="C35" s="577"/>
      <c r="D35" s="577"/>
      <c r="E35" s="578"/>
    </row>
    <row r="36" spans="1:5" s="569" customFormat="1" ht="15.75">
      <c r="A36" s="574" t="s">
        <v>672</v>
      </c>
      <c r="B36" s="571" t="s">
        <v>32</v>
      </c>
      <c r="C36" s="577"/>
      <c r="D36" s="577"/>
      <c r="E36" s="578"/>
    </row>
    <row r="37" spans="1:5" s="569" customFormat="1" ht="15.75">
      <c r="A37" s="570" t="s">
        <v>673</v>
      </c>
      <c r="B37" s="571" t="s">
        <v>33</v>
      </c>
      <c r="C37" s="579">
        <f>+C38+C43+C48</f>
        <v>200000</v>
      </c>
      <c r="D37" s="579">
        <f>+D38+D43+D48</f>
        <v>0</v>
      </c>
      <c r="E37" s="580">
        <f>+E38+E43+E48</f>
        <v>0</v>
      </c>
    </row>
    <row r="38" spans="1:5" s="569" customFormat="1" ht="15.75">
      <c r="A38" s="570" t="s">
        <v>674</v>
      </c>
      <c r="B38" s="571" t="s">
        <v>625</v>
      </c>
      <c r="C38" s="579">
        <f>+C39+C40+C41+C42</f>
        <v>200000</v>
      </c>
      <c r="D38" s="579">
        <f>+D39+D40+D41+D42</f>
        <v>0</v>
      </c>
      <c r="E38" s="580">
        <f>+E39+E40+E41+E42</f>
        <v>0</v>
      </c>
    </row>
    <row r="39" spans="1:5" s="569" customFormat="1" ht="15.75">
      <c r="A39" s="574" t="s">
        <v>675</v>
      </c>
      <c r="B39" s="571" t="s">
        <v>626</v>
      </c>
      <c r="C39" s="577"/>
      <c r="D39" s="577"/>
      <c r="E39" s="578"/>
    </row>
    <row r="40" spans="1:5" s="569" customFormat="1" ht="15.75">
      <c r="A40" s="574" t="s">
        <v>676</v>
      </c>
      <c r="B40" s="571" t="s">
        <v>627</v>
      </c>
      <c r="C40" s="577"/>
      <c r="D40" s="577"/>
      <c r="E40" s="578"/>
    </row>
    <row r="41" spans="1:5" s="569" customFormat="1" ht="15.75">
      <c r="A41" s="574" t="s">
        <v>677</v>
      </c>
      <c r="B41" s="571" t="s">
        <v>628</v>
      </c>
      <c r="C41" s="577">
        <v>200000</v>
      </c>
      <c r="D41" s="577"/>
      <c r="E41" s="578"/>
    </row>
    <row r="42" spans="1:5" s="569" customFormat="1" ht="15.75">
      <c r="A42" s="574" t="s">
        <v>678</v>
      </c>
      <c r="B42" s="571" t="s">
        <v>629</v>
      </c>
      <c r="C42" s="577"/>
      <c r="D42" s="577"/>
      <c r="E42" s="578"/>
    </row>
    <row r="43" spans="1:5" s="569" customFormat="1" ht="15.75">
      <c r="A43" s="570" t="s">
        <v>679</v>
      </c>
      <c r="B43" s="571" t="s">
        <v>680</v>
      </c>
      <c r="C43" s="579">
        <f>+C44+C45+C46+C47</f>
        <v>0</v>
      </c>
      <c r="D43" s="579">
        <f>+D44+D45+D46+D47</f>
        <v>0</v>
      </c>
      <c r="E43" s="580">
        <f>+E44+E45+E46+E47</f>
        <v>0</v>
      </c>
    </row>
    <row r="44" spans="1:5" s="569" customFormat="1" ht="15.75">
      <c r="A44" s="574" t="s">
        <v>681</v>
      </c>
      <c r="B44" s="571" t="s">
        <v>682</v>
      </c>
      <c r="C44" s="577"/>
      <c r="D44" s="577"/>
      <c r="E44" s="578"/>
    </row>
    <row r="45" spans="1:5" s="569" customFormat="1" ht="22.5">
      <c r="A45" s="574" t="s">
        <v>683</v>
      </c>
      <c r="B45" s="571" t="s">
        <v>684</v>
      </c>
      <c r="C45" s="577"/>
      <c r="D45" s="577"/>
      <c r="E45" s="578"/>
    </row>
    <row r="46" spans="1:5" s="569" customFormat="1" ht="15.75">
      <c r="A46" s="574" t="s">
        <v>685</v>
      </c>
      <c r="B46" s="571" t="s">
        <v>686</v>
      </c>
      <c r="C46" s="577"/>
      <c r="D46" s="577"/>
      <c r="E46" s="578"/>
    </row>
    <row r="47" spans="1:5" s="569" customFormat="1" ht="15.75">
      <c r="A47" s="574" t="s">
        <v>687</v>
      </c>
      <c r="B47" s="571" t="s">
        <v>688</v>
      </c>
      <c r="C47" s="577"/>
      <c r="D47" s="577"/>
      <c r="E47" s="578"/>
    </row>
    <row r="48" spans="1:5" s="569" customFormat="1" ht="15.75">
      <c r="A48" s="570" t="s">
        <v>689</v>
      </c>
      <c r="B48" s="571" t="s">
        <v>690</v>
      </c>
      <c r="C48" s="579">
        <f>+C49+C50+C51+C52</f>
        <v>0</v>
      </c>
      <c r="D48" s="579">
        <f>+D49+D50+D51+D52</f>
        <v>0</v>
      </c>
      <c r="E48" s="580">
        <f>+E49+E50+E51+E52</f>
        <v>0</v>
      </c>
    </row>
    <row r="49" spans="1:5" s="569" customFormat="1" ht="15.75">
      <c r="A49" s="574" t="s">
        <v>691</v>
      </c>
      <c r="B49" s="571" t="s">
        <v>692</v>
      </c>
      <c r="C49" s="577"/>
      <c r="D49" s="577"/>
      <c r="E49" s="578"/>
    </row>
    <row r="50" spans="1:5" s="569" customFormat="1" ht="22.5">
      <c r="A50" s="574" t="s">
        <v>693</v>
      </c>
      <c r="B50" s="571" t="s">
        <v>694</v>
      </c>
      <c r="C50" s="577"/>
      <c r="D50" s="577"/>
      <c r="E50" s="578"/>
    </row>
    <row r="51" spans="1:5" s="569" customFormat="1" ht="15.75">
      <c r="A51" s="574" t="s">
        <v>695</v>
      </c>
      <c r="B51" s="571" t="s">
        <v>696</v>
      </c>
      <c r="C51" s="577"/>
      <c r="D51" s="577"/>
      <c r="E51" s="578"/>
    </row>
    <row r="52" spans="1:5" s="569" customFormat="1" ht="15.75">
      <c r="A52" s="574" t="s">
        <v>697</v>
      </c>
      <c r="B52" s="571" t="s">
        <v>698</v>
      </c>
      <c r="C52" s="577"/>
      <c r="D52" s="577"/>
      <c r="E52" s="578"/>
    </row>
    <row r="53" spans="1:5" s="569" customFormat="1" ht="15.75">
      <c r="A53" s="570" t="s">
        <v>699</v>
      </c>
      <c r="B53" s="571" t="s">
        <v>700</v>
      </c>
      <c r="C53" s="577"/>
      <c r="D53" s="577"/>
      <c r="E53" s="578"/>
    </row>
    <row r="54" spans="1:5" s="569" customFormat="1" ht="21">
      <c r="A54" s="570" t="s">
        <v>701</v>
      </c>
      <c r="B54" s="571" t="s">
        <v>702</v>
      </c>
      <c r="C54" s="579">
        <f>+C10+C11+C37+C53</f>
        <v>2703270769</v>
      </c>
      <c r="D54" s="579">
        <f>+D10+D11+D37+D53</f>
        <v>0</v>
      </c>
      <c r="E54" s="580">
        <f>+E10+E11+E37+E53</f>
        <v>0</v>
      </c>
    </row>
    <row r="55" spans="1:5" s="569" customFormat="1" ht="15.75">
      <c r="A55" s="570" t="s">
        <v>703</v>
      </c>
      <c r="B55" s="571" t="s">
        <v>704</v>
      </c>
      <c r="C55" s="577">
        <v>1178043</v>
      </c>
      <c r="D55" s="577"/>
      <c r="E55" s="578"/>
    </row>
    <row r="56" spans="1:5" s="569" customFormat="1" ht="15.75">
      <c r="A56" s="570" t="s">
        <v>705</v>
      </c>
      <c r="B56" s="571" t="s">
        <v>706</v>
      </c>
      <c r="C56" s="577"/>
      <c r="D56" s="577"/>
      <c r="E56" s="578"/>
    </row>
    <row r="57" spans="1:5" s="569" customFormat="1" ht="15.75">
      <c r="A57" s="570" t="s">
        <v>707</v>
      </c>
      <c r="B57" s="571" t="s">
        <v>708</v>
      </c>
      <c r="C57" s="579">
        <f>+C55+C56</f>
        <v>1178043</v>
      </c>
      <c r="D57" s="579">
        <f>+D55+D56</f>
        <v>0</v>
      </c>
      <c r="E57" s="580">
        <f>+E55+E56</f>
        <v>0</v>
      </c>
    </row>
    <row r="58" spans="1:5" s="569" customFormat="1" ht="15.75">
      <c r="A58" s="570" t="s">
        <v>709</v>
      </c>
      <c r="B58" s="571" t="s">
        <v>710</v>
      </c>
      <c r="C58" s="577"/>
      <c r="D58" s="577"/>
      <c r="E58" s="578"/>
    </row>
    <row r="59" spans="1:5" s="569" customFormat="1" ht="15.75">
      <c r="A59" s="570" t="s">
        <v>711</v>
      </c>
      <c r="B59" s="571" t="s">
        <v>712</v>
      </c>
      <c r="C59" s="577">
        <v>1903930</v>
      </c>
      <c r="D59" s="577"/>
      <c r="E59" s="578"/>
    </row>
    <row r="60" spans="1:5" s="569" customFormat="1" ht="15.75">
      <c r="A60" s="570" t="s">
        <v>713</v>
      </c>
      <c r="B60" s="571" t="s">
        <v>714</v>
      </c>
      <c r="C60" s="577">
        <v>492145628</v>
      </c>
      <c r="D60" s="577"/>
      <c r="E60" s="578"/>
    </row>
    <row r="61" spans="1:5" s="569" customFormat="1" ht="15.75">
      <c r="A61" s="570" t="s">
        <v>715</v>
      </c>
      <c r="B61" s="571" t="s">
        <v>716</v>
      </c>
      <c r="C61" s="577">
        <v>13961</v>
      </c>
      <c r="D61" s="577"/>
      <c r="E61" s="578"/>
    </row>
    <row r="62" spans="1:5" s="569" customFormat="1" ht="15.75">
      <c r="A62" s="570" t="s">
        <v>717</v>
      </c>
      <c r="B62" s="571" t="s">
        <v>718</v>
      </c>
      <c r="C62" s="579">
        <f>+C58+C59+C60+C61</f>
        <v>494063519</v>
      </c>
      <c r="D62" s="579">
        <f>+D58+D59+D60+D61</f>
        <v>0</v>
      </c>
      <c r="E62" s="580">
        <f>+E58+E59+E60+E61</f>
        <v>0</v>
      </c>
    </row>
    <row r="63" spans="1:5" s="569" customFormat="1" ht="15.75">
      <c r="A63" s="570" t="s">
        <v>719</v>
      </c>
      <c r="B63" s="571" t="s">
        <v>720</v>
      </c>
      <c r="C63" s="577">
        <v>113520647</v>
      </c>
      <c r="D63" s="577"/>
      <c r="E63" s="578"/>
    </row>
    <row r="64" spans="1:5" s="569" customFormat="1" ht="15.75">
      <c r="A64" s="570" t="s">
        <v>721</v>
      </c>
      <c r="B64" s="571" t="s">
        <v>722</v>
      </c>
      <c r="C64" s="577"/>
      <c r="D64" s="577"/>
      <c r="E64" s="578"/>
    </row>
    <row r="65" spans="1:5" s="569" customFormat="1" ht="15.75">
      <c r="A65" s="570" t="s">
        <v>723</v>
      </c>
      <c r="B65" s="571" t="s">
        <v>724</v>
      </c>
      <c r="C65" s="577">
        <v>35528305</v>
      </c>
      <c r="D65" s="577"/>
      <c r="E65" s="578"/>
    </row>
    <row r="66" spans="1:5" s="569" customFormat="1" ht="15.75">
      <c r="A66" s="570" t="s">
        <v>725</v>
      </c>
      <c r="B66" s="571" t="s">
        <v>726</v>
      </c>
      <c r="C66" s="579">
        <f>+C63+C64+C65</f>
        <v>149048952</v>
      </c>
      <c r="D66" s="579">
        <f>+D63+D64+D65</f>
        <v>0</v>
      </c>
      <c r="E66" s="580">
        <f>+E63+E64+E65</f>
        <v>0</v>
      </c>
    </row>
    <row r="67" spans="1:5" s="569" customFormat="1" ht="15.75">
      <c r="A67" s="570" t="s">
        <v>727</v>
      </c>
      <c r="B67" s="571" t="s">
        <v>728</v>
      </c>
      <c r="C67" s="577"/>
      <c r="D67" s="577"/>
      <c r="E67" s="578"/>
    </row>
    <row r="68" spans="1:5" s="569" customFormat="1" ht="21">
      <c r="A68" s="570" t="s">
        <v>729</v>
      </c>
      <c r="B68" s="571" t="s">
        <v>730</v>
      </c>
      <c r="C68" s="577"/>
      <c r="D68" s="577"/>
      <c r="E68" s="578"/>
    </row>
    <row r="69" spans="1:5" s="569" customFormat="1" ht="15.75">
      <c r="A69" s="570" t="s">
        <v>800</v>
      </c>
      <c r="B69" s="571" t="s">
        <v>731</v>
      </c>
      <c r="C69" s="579">
        <v>67217257</v>
      </c>
      <c r="D69" s="579">
        <f>+D67+D68</f>
        <v>0</v>
      </c>
      <c r="E69" s="580">
        <f>+E67+E68</f>
        <v>0</v>
      </c>
    </row>
    <row r="70" spans="1:5" s="569" customFormat="1" ht="15.75">
      <c r="A70" s="570" t="s">
        <v>732</v>
      </c>
      <c r="B70" s="571" t="s">
        <v>733</v>
      </c>
      <c r="C70" s="577">
        <v>278323</v>
      </c>
      <c r="D70" s="577"/>
      <c r="E70" s="578"/>
    </row>
    <row r="71" spans="1:5" s="569" customFormat="1" ht="16.5" thickBot="1">
      <c r="A71" s="581" t="s">
        <v>734</v>
      </c>
      <c r="B71" s="582" t="s">
        <v>735</v>
      </c>
      <c r="C71" s="583">
        <f>+C54+C57+C62+C66+C69+C70</f>
        <v>3415056863</v>
      </c>
      <c r="D71" s="583">
        <f>+D54+D57+D62+D66+D69+D70</f>
        <v>0</v>
      </c>
      <c r="E71" s="584">
        <f>+E54+E57+E62+E66+E69+E70</f>
        <v>0</v>
      </c>
    </row>
    <row r="72" spans="1:5" ht="15.75">
      <c r="A72" s="585"/>
      <c r="C72" s="586"/>
      <c r="D72" s="586"/>
      <c r="E72" s="587"/>
    </row>
    <row r="73" spans="1:5" ht="15.75">
      <c r="A73" s="585"/>
      <c r="C73" s="586"/>
      <c r="D73" s="586"/>
      <c r="E73" s="587"/>
    </row>
    <row r="74" spans="1:5" ht="15.75">
      <c r="A74" s="588"/>
      <c r="C74" s="586"/>
      <c r="D74" s="586"/>
      <c r="E74" s="587"/>
    </row>
    <row r="75" spans="1:5" ht="15.75">
      <c r="A75" s="957"/>
      <c r="B75" s="957"/>
      <c r="C75" s="957"/>
      <c r="D75" s="957"/>
      <c r="E75" s="957"/>
    </row>
    <row r="76" spans="1:5" ht="15.75">
      <c r="A76" s="957"/>
      <c r="B76" s="957"/>
      <c r="C76" s="957"/>
      <c r="D76" s="957"/>
      <c r="E76" s="957"/>
    </row>
  </sheetData>
  <sheetProtection/>
  <mergeCells count="13">
    <mergeCell ref="A75:E75"/>
    <mergeCell ref="A76:E76"/>
    <mergeCell ref="A1:E1"/>
    <mergeCell ref="A2:E2"/>
    <mergeCell ref="A3:E3"/>
    <mergeCell ref="A4:E4"/>
    <mergeCell ref="C5:E5"/>
    <mergeCell ref="A6:A8"/>
    <mergeCell ref="B6:B8"/>
    <mergeCell ref="C6:C7"/>
    <mergeCell ref="D6:D7"/>
    <mergeCell ref="E6:E7"/>
    <mergeCell ref="C8:E8"/>
  </mergeCells>
  <printOptions horizontalCentered="1"/>
  <pageMargins left="0.7874015748031497" right="0.8267716535433072" top="0.9055118110236221" bottom="0.984251968503937" header="0.7874015748031497" footer="0.7874015748031497"/>
  <pageSetup orientation="portrait" paperSize="9" scale="85" r:id="rId1"/>
  <headerFooter alignWithMargins="0">
    <oddFooter>&amp;C&amp;P</oddFooter>
  </headerFooter>
  <rowBreaks count="1" manualBreakCount="1">
    <brk id="47" max="25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E28"/>
  <sheetViews>
    <sheetView zoomScale="120" zoomScaleNormal="120" workbookViewId="0" topLeftCell="A1">
      <selection activeCell="C23" sqref="C23"/>
    </sheetView>
  </sheetViews>
  <sheetFormatPr defaultColWidth="9.00390625" defaultRowHeight="12.75"/>
  <cols>
    <col min="1" max="1" width="71.125" style="591" customWidth="1"/>
    <col min="2" max="2" width="6.125" style="603" customWidth="1"/>
    <col min="3" max="3" width="18.00390625" style="590" customWidth="1"/>
    <col min="4" max="16384" width="9.375" style="590" customWidth="1"/>
  </cols>
  <sheetData>
    <row r="1" spans="1:3" ht="16.5" customHeight="1">
      <c r="A1" s="965" t="str">
        <f>CONCATENATE("7.2. tájékoztató tábla ",Z_ALAPADATOK!A7," ",Z_ALAPADATOK!B7," ",Z_ALAPADATOK!C7," ",Z_ALAPADATOK!D7," ",Z_ALAPADATOK!E7," ",Z_ALAPADATOK!F7," ",Z_ALAPADATOK!G7," ",Z_ALAPADATOK!H7)</f>
        <v>7.2. tájékoztató tábla a 2 / 2019. ( IV.26. ) önkormányzati rendelethez</v>
      </c>
      <c r="B1" s="966"/>
      <c r="C1" s="966"/>
    </row>
    <row r="2" spans="1:3" ht="16.5" customHeight="1">
      <c r="A2" s="698"/>
      <c r="B2" s="699"/>
      <c r="C2" s="700"/>
    </row>
    <row r="3" spans="1:3" ht="16.5" customHeight="1">
      <c r="A3" s="969" t="s">
        <v>802</v>
      </c>
      <c r="B3" s="969"/>
      <c r="C3" s="969"/>
    </row>
    <row r="4" spans="1:3" ht="16.5" customHeight="1">
      <c r="A4" s="967" t="s">
        <v>846</v>
      </c>
      <c r="B4" s="967"/>
      <c r="C4" s="967"/>
    </row>
    <row r="5" spans="1:3" ht="16.5" customHeight="1">
      <c r="A5" s="967" t="s">
        <v>889</v>
      </c>
      <c r="B5" s="968"/>
      <c r="C5" s="968"/>
    </row>
    <row r="6" spans="1:3" ht="13.5" thickBot="1">
      <c r="A6" s="698"/>
      <c r="B6" s="970" t="str">
        <f>'Z_6.tájékoztató_t.'!E6</f>
        <v>Forintban</v>
      </c>
      <c r="C6" s="970"/>
    </row>
    <row r="7" spans="1:3" s="592" customFormat="1" ht="31.5" customHeight="1">
      <c r="A7" s="971" t="s">
        <v>736</v>
      </c>
      <c r="B7" s="973" t="s">
        <v>631</v>
      </c>
      <c r="C7" s="975" t="s">
        <v>737</v>
      </c>
    </row>
    <row r="8" spans="1:3" s="592" customFormat="1" ht="12.75">
      <c r="A8" s="972"/>
      <c r="B8" s="974"/>
      <c r="C8" s="976"/>
    </row>
    <row r="9" spans="1:3" s="593" customFormat="1" ht="13.5" thickBot="1">
      <c r="A9" s="701" t="s">
        <v>388</v>
      </c>
      <c r="B9" s="702" t="s">
        <v>389</v>
      </c>
      <c r="C9" s="703" t="s">
        <v>390</v>
      </c>
    </row>
    <row r="10" spans="1:3" ht="15.75" customHeight="1">
      <c r="A10" s="570" t="s">
        <v>738</v>
      </c>
      <c r="B10" s="594" t="s">
        <v>638</v>
      </c>
      <c r="C10" s="595">
        <v>1556749149</v>
      </c>
    </row>
    <row r="11" spans="1:3" ht="15.75" customHeight="1">
      <c r="A11" s="570" t="s">
        <v>739</v>
      </c>
      <c r="B11" s="571" t="s">
        <v>640</v>
      </c>
      <c r="C11" s="595"/>
    </row>
    <row r="12" spans="1:3" ht="15.75" customHeight="1">
      <c r="A12" s="570" t="s">
        <v>740</v>
      </c>
      <c r="B12" s="571" t="s">
        <v>642</v>
      </c>
      <c r="C12" s="595">
        <v>22956443</v>
      </c>
    </row>
    <row r="13" spans="1:3" ht="15.75" customHeight="1">
      <c r="A13" s="570" t="s">
        <v>741</v>
      </c>
      <c r="B13" s="571" t="s">
        <v>644</v>
      </c>
      <c r="C13" s="596">
        <v>468161977</v>
      </c>
    </row>
    <row r="14" spans="1:3" ht="15.75" customHeight="1">
      <c r="A14" s="570" t="s">
        <v>742</v>
      </c>
      <c r="B14" s="571" t="s">
        <v>646</v>
      </c>
      <c r="C14" s="596"/>
    </row>
    <row r="15" spans="1:3" ht="15.75" customHeight="1">
      <c r="A15" s="570" t="s">
        <v>743</v>
      </c>
      <c r="B15" s="571" t="s">
        <v>648</v>
      </c>
      <c r="C15" s="596">
        <v>135221090</v>
      </c>
    </row>
    <row r="16" spans="1:3" ht="15.75" customHeight="1">
      <c r="A16" s="570" t="s">
        <v>744</v>
      </c>
      <c r="B16" s="571" t="s">
        <v>650</v>
      </c>
      <c r="C16" s="597">
        <f>+C10+C11+C12+C13+C14+C15</f>
        <v>2183088659</v>
      </c>
    </row>
    <row r="17" spans="1:3" ht="15.75" customHeight="1">
      <c r="A17" s="570" t="s">
        <v>745</v>
      </c>
      <c r="B17" s="571" t="s">
        <v>652</v>
      </c>
      <c r="C17" s="598">
        <v>8987735</v>
      </c>
    </row>
    <row r="18" spans="1:3" ht="15.75" customHeight="1">
      <c r="A18" s="570" t="s">
        <v>746</v>
      </c>
      <c r="B18" s="571" t="s">
        <v>654</v>
      </c>
      <c r="C18" s="596">
        <v>9902825</v>
      </c>
    </row>
    <row r="19" spans="1:3" ht="15.75" customHeight="1">
      <c r="A19" s="570" t="s">
        <v>747</v>
      </c>
      <c r="B19" s="571" t="s">
        <v>15</v>
      </c>
      <c r="C19" s="596">
        <v>105308358</v>
      </c>
    </row>
    <row r="20" spans="1:3" ht="15.75" customHeight="1">
      <c r="A20" s="570" t="s">
        <v>748</v>
      </c>
      <c r="B20" s="571" t="s">
        <v>16</v>
      </c>
      <c r="C20" s="597">
        <f>+C17+C18+C19</f>
        <v>124198918</v>
      </c>
    </row>
    <row r="21" spans="1:3" s="599" customFormat="1" ht="15.75" customHeight="1">
      <c r="A21" s="570" t="s">
        <v>749</v>
      </c>
      <c r="B21" s="571" t="s">
        <v>17</v>
      </c>
      <c r="C21" s="596"/>
    </row>
    <row r="22" spans="1:3" ht="15.75" customHeight="1">
      <c r="A22" s="570" t="s">
        <v>750</v>
      </c>
      <c r="B22" s="571" t="s">
        <v>18</v>
      </c>
      <c r="C22" s="596">
        <v>1107769286</v>
      </c>
    </row>
    <row r="23" spans="1:3" ht="15.75" customHeight="1" thickBot="1">
      <c r="A23" s="600" t="s">
        <v>751</v>
      </c>
      <c r="B23" s="582" t="s">
        <v>19</v>
      </c>
      <c r="C23" s="601">
        <f>+C16+C20+C21+C22</f>
        <v>3415056863</v>
      </c>
    </row>
    <row r="24" spans="1:5" ht="15.75">
      <c r="A24" s="585"/>
      <c r="B24" s="588"/>
      <c r="C24" s="586"/>
      <c r="D24" s="586"/>
      <c r="E24" s="586"/>
    </row>
    <row r="25" spans="1:5" ht="15.75">
      <c r="A25" s="585"/>
      <c r="B25" s="588"/>
      <c r="C25" s="586"/>
      <c r="D25" s="586"/>
      <c r="E25" s="586"/>
    </row>
    <row r="26" spans="1:5" ht="15.75">
      <c r="A26" s="588"/>
      <c r="B26" s="588"/>
      <c r="C26" s="586"/>
      <c r="D26" s="586"/>
      <c r="E26" s="586"/>
    </row>
    <row r="27" spans="1:5" ht="15.75">
      <c r="A27" s="964"/>
      <c r="B27" s="964"/>
      <c r="C27" s="964"/>
      <c r="D27" s="602"/>
      <c r="E27" s="602"/>
    </row>
    <row r="28" spans="1:5" ht="15.75">
      <c r="A28" s="964"/>
      <c r="B28" s="964"/>
      <c r="C28" s="964"/>
      <c r="D28" s="602"/>
      <c r="E28" s="602"/>
    </row>
  </sheetData>
  <sheetProtection sheet="1"/>
  <mergeCells count="10">
    <mergeCell ref="A27:C27"/>
    <mergeCell ref="A28:C28"/>
    <mergeCell ref="A1:C1"/>
    <mergeCell ref="A5:C5"/>
    <mergeCell ref="A3:C3"/>
    <mergeCell ref="A4:C4"/>
    <mergeCell ref="B6:C6"/>
    <mergeCell ref="A7:A8"/>
    <mergeCell ref="B7:B8"/>
    <mergeCell ref="C7:C8"/>
  </mergeCells>
  <printOptions horizontalCentered="1"/>
  <pageMargins left="0.7874015748031497" right="0.7874015748031497" top="1.062992125984252" bottom="0.984251968503937" header="0.7874015748031497" footer="0.7874015748031497"/>
  <pageSetup orientation="portrait" paperSize="9" scale="95" r:id="rId1"/>
  <headerFooter alignWithMargins="0">
    <oddHeader>&amp;L&amp;"Times New Roman,Félkövér dőlt"............................................Önkormányzat&amp;R&amp;"Times New Roman CE,Félkövér dőlt"7.2. tájékoztató tábla a ……/2018. (……) önkormányzati rendelethez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F46"/>
  <sheetViews>
    <sheetView zoomScale="120" zoomScaleNormal="120" workbookViewId="0" topLeftCell="A1">
      <selection activeCell="G13" sqref="G13"/>
    </sheetView>
  </sheetViews>
  <sheetFormatPr defaultColWidth="12.00390625" defaultRowHeight="12.75"/>
  <cols>
    <col min="1" max="1" width="58.875" style="604" customWidth="1"/>
    <col min="2" max="2" width="6.875" style="604" customWidth="1"/>
    <col min="3" max="3" width="17.125" style="604" customWidth="1"/>
    <col min="4" max="4" width="19.125" style="604" customWidth="1"/>
    <col min="5" max="16384" width="12.00390625" style="604" customWidth="1"/>
  </cols>
  <sheetData>
    <row r="1" spans="1:4" ht="16.5" customHeight="1">
      <c r="A1" s="982" t="str">
        <f>CONCATENATE("7.3. tájékoztató tábla ",Z_ALAPADATOK!A7," ",Z_ALAPADATOK!B7," ",Z_ALAPADATOK!C7," ",Z_ALAPADATOK!D7," ",Z_ALAPADATOK!E7," ",Z_ALAPADATOK!F7," ",Z_ALAPADATOK!G7," ",Z_ALAPADATOK!H7)</f>
        <v>7.3. tájékoztató tábla a 2 / 2019. ( IV.26. ) önkormányzati rendelethez</v>
      </c>
      <c r="B1" s="982"/>
      <c r="C1" s="982"/>
      <c r="D1" s="982"/>
    </row>
    <row r="2" s="704" customFormat="1" ht="16.5" customHeight="1"/>
    <row r="3" spans="1:4" s="633" customFormat="1" ht="16.5" customHeight="1">
      <c r="A3" s="983" t="s">
        <v>802</v>
      </c>
      <c r="B3" s="983"/>
      <c r="C3" s="983"/>
      <c r="D3" s="983"/>
    </row>
    <row r="4" spans="1:4" s="633" customFormat="1" ht="16.5" customHeight="1">
      <c r="A4" s="983" t="s">
        <v>806</v>
      </c>
      <c r="B4" s="983"/>
      <c r="C4" s="983"/>
      <c r="D4" s="983"/>
    </row>
    <row r="5" spans="1:4" s="633" customFormat="1" ht="16.5" customHeight="1">
      <c r="A5" s="977" t="s">
        <v>889</v>
      </c>
      <c r="B5" s="978"/>
      <c r="C5" s="978"/>
      <c r="D5" s="978"/>
    </row>
    <row r="6" ht="16.5" customHeight="1" thickBot="1"/>
    <row r="7" spans="1:4" ht="43.5" customHeight="1" thickBot="1">
      <c r="A7" s="605" t="s">
        <v>45</v>
      </c>
      <c r="B7" s="606" t="s">
        <v>631</v>
      </c>
      <c r="C7" s="607" t="s">
        <v>752</v>
      </c>
      <c r="D7" s="608" t="s">
        <v>753</v>
      </c>
    </row>
    <row r="8" spans="1:4" ht="16.5" thickBot="1">
      <c r="A8" s="609" t="s">
        <v>388</v>
      </c>
      <c r="B8" s="610" t="s">
        <v>389</v>
      </c>
      <c r="C8" s="610" t="s">
        <v>390</v>
      </c>
      <c r="D8" s="611" t="s">
        <v>392</v>
      </c>
    </row>
    <row r="9" spans="1:4" ht="15.75" customHeight="1">
      <c r="A9" s="612" t="s">
        <v>754</v>
      </c>
      <c r="B9" s="613" t="s">
        <v>6</v>
      </c>
      <c r="C9" s="614"/>
      <c r="D9" s="615"/>
    </row>
    <row r="10" spans="1:4" ht="15.75" customHeight="1">
      <c r="A10" s="612" t="s">
        <v>755</v>
      </c>
      <c r="B10" s="616" t="s">
        <v>7</v>
      </c>
      <c r="C10" s="617"/>
      <c r="D10" s="618"/>
    </row>
    <row r="11" spans="1:4" ht="15.75" customHeight="1">
      <c r="A11" s="612" t="s">
        <v>756</v>
      </c>
      <c r="B11" s="616" t="s">
        <v>8</v>
      </c>
      <c r="C11" s="617"/>
      <c r="D11" s="618"/>
    </row>
    <row r="12" spans="1:4" ht="15.75" customHeight="1" thickBot="1">
      <c r="A12" s="619" t="s">
        <v>757</v>
      </c>
      <c r="B12" s="620" t="s">
        <v>9</v>
      </c>
      <c r="C12" s="621"/>
      <c r="D12" s="622"/>
    </row>
    <row r="13" spans="1:4" ht="15.75" customHeight="1" thickBot="1">
      <c r="A13" s="623" t="s">
        <v>758</v>
      </c>
      <c r="B13" s="624" t="s">
        <v>10</v>
      </c>
      <c r="C13" s="625"/>
      <c r="D13" s="626">
        <f>+D14+D15+D16+D17</f>
        <v>0</v>
      </c>
    </row>
    <row r="14" spans="1:4" ht="15.75" customHeight="1">
      <c r="A14" s="627" t="s">
        <v>759</v>
      </c>
      <c r="B14" s="613" t="s">
        <v>11</v>
      </c>
      <c r="C14" s="614"/>
      <c r="D14" s="615"/>
    </row>
    <row r="15" spans="1:4" ht="15.75" customHeight="1">
      <c r="A15" s="612" t="s">
        <v>760</v>
      </c>
      <c r="B15" s="616" t="s">
        <v>12</v>
      </c>
      <c r="C15" s="617"/>
      <c r="D15" s="618"/>
    </row>
    <row r="16" spans="1:4" ht="15.75" customHeight="1">
      <c r="A16" s="612" t="s">
        <v>761</v>
      </c>
      <c r="B16" s="616" t="s">
        <v>13</v>
      </c>
      <c r="C16" s="617"/>
      <c r="D16" s="618"/>
    </row>
    <row r="17" spans="1:4" ht="15.75" customHeight="1" thickBot="1">
      <c r="A17" s="619" t="s">
        <v>762</v>
      </c>
      <c r="B17" s="620" t="s">
        <v>14</v>
      </c>
      <c r="C17" s="621"/>
      <c r="D17" s="622"/>
    </row>
    <row r="18" spans="1:4" ht="15.75" customHeight="1" thickBot="1">
      <c r="A18" s="623" t="s">
        <v>763</v>
      </c>
      <c r="B18" s="624" t="s">
        <v>15</v>
      </c>
      <c r="C18" s="625"/>
      <c r="D18" s="626">
        <f>+D19+D20+D21</f>
        <v>0</v>
      </c>
    </row>
    <row r="19" spans="1:4" ht="15.75" customHeight="1">
      <c r="A19" s="627" t="s">
        <v>764</v>
      </c>
      <c r="B19" s="613" t="s">
        <v>16</v>
      </c>
      <c r="C19" s="614"/>
      <c r="D19" s="615"/>
    </row>
    <row r="20" spans="1:4" ht="15.75" customHeight="1">
      <c r="A20" s="612" t="s">
        <v>765</v>
      </c>
      <c r="B20" s="616" t="s">
        <v>17</v>
      </c>
      <c r="C20" s="617"/>
      <c r="D20" s="618"/>
    </row>
    <row r="21" spans="1:4" ht="15.75" customHeight="1" thickBot="1">
      <c r="A21" s="619" t="s">
        <v>766</v>
      </c>
      <c r="B21" s="620" t="s">
        <v>18</v>
      </c>
      <c r="C21" s="621"/>
      <c r="D21" s="622"/>
    </row>
    <row r="22" spans="1:4" ht="15.75" customHeight="1" thickBot="1">
      <c r="A22" s="623" t="s">
        <v>767</v>
      </c>
      <c r="B22" s="624" t="s">
        <v>19</v>
      </c>
      <c r="C22" s="625"/>
      <c r="D22" s="626">
        <f>+D23+D24+D25</f>
        <v>0</v>
      </c>
    </row>
    <row r="23" spans="1:4" ht="15.75" customHeight="1">
      <c r="A23" s="627" t="s">
        <v>768</v>
      </c>
      <c r="B23" s="613" t="s">
        <v>20</v>
      </c>
      <c r="C23" s="614"/>
      <c r="D23" s="615"/>
    </row>
    <row r="24" spans="1:4" ht="15.75" customHeight="1">
      <c r="A24" s="612" t="s">
        <v>769</v>
      </c>
      <c r="B24" s="616" t="s">
        <v>21</v>
      </c>
      <c r="C24" s="617"/>
      <c r="D24" s="618"/>
    </row>
    <row r="25" spans="1:4" ht="15.75" customHeight="1">
      <c r="A25" s="612" t="s">
        <v>770</v>
      </c>
      <c r="B25" s="616" t="s">
        <v>22</v>
      </c>
      <c r="C25" s="617"/>
      <c r="D25" s="618"/>
    </row>
    <row r="26" spans="1:4" ht="15.75" customHeight="1">
      <c r="A26" s="612" t="s">
        <v>771</v>
      </c>
      <c r="B26" s="616" t="s">
        <v>23</v>
      </c>
      <c r="C26" s="617"/>
      <c r="D26" s="618"/>
    </row>
    <row r="27" spans="1:4" ht="15.75" customHeight="1">
      <c r="A27" s="612"/>
      <c r="B27" s="616" t="s">
        <v>24</v>
      </c>
      <c r="C27" s="617"/>
      <c r="D27" s="618"/>
    </row>
    <row r="28" spans="1:4" ht="15.75" customHeight="1">
      <c r="A28" s="612"/>
      <c r="B28" s="616" t="s">
        <v>25</v>
      </c>
      <c r="C28" s="617"/>
      <c r="D28" s="618"/>
    </row>
    <row r="29" spans="1:4" ht="15.75" customHeight="1">
      <c r="A29" s="612"/>
      <c r="B29" s="616" t="s">
        <v>26</v>
      </c>
      <c r="C29" s="617"/>
      <c r="D29" s="618"/>
    </row>
    <row r="30" spans="1:4" ht="15.75" customHeight="1">
      <c r="A30" s="612"/>
      <c r="B30" s="616" t="s">
        <v>27</v>
      </c>
      <c r="C30" s="617"/>
      <c r="D30" s="618"/>
    </row>
    <row r="31" spans="1:4" ht="15.75" customHeight="1">
      <c r="A31" s="612"/>
      <c r="B31" s="616" t="s">
        <v>28</v>
      </c>
      <c r="C31" s="617"/>
      <c r="D31" s="618"/>
    </row>
    <row r="32" spans="1:4" ht="15.75" customHeight="1">
      <c r="A32" s="612"/>
      <c r="B32" s="616" t="s">
        <v>29</v>
      </c>
      <c r="C32" s="617"/>
      <c r="D32" s="618"/>
    </row>
    <row r="33" spans="1:4" ht="15.75" customHeight="1">
      <c r="A33" s="612"/>
      <c r="B33" s="616" t="s">
        <v>30</v>
      </c>
      <c r="C33" s="617"/>
      <c r="D33" s="618"/>
    </row>
    <row r="34" spans="1:4" ht="15.75" customHeight="1">
      <c r="A34" s="612"/>
      <c r="B34" s="616" t="s">
        <v>31</v>
      </c>
      <c r="C34" s="617"/>
      <c r="D34" s="618"/>
    </row>
    <row r="35" spans="1:4" ht="15.75" customHeight="1">
      <c r="A35" s="612"/>
      <c r="B35" s="616" t="s">
        <v>32</v>
      </c>
      <c r="C35" s="617"/>
      <c r="D35" s="618"/>
    </row>
    <row r="36" spans="1:4" ht="15.75" customHeight="1">
      <c r="A36" s="612"/>
      <c r="B36" s="616" t="s">
        <v>33</v>
      </c>
      <c r="C36" s="617"/>
      <c r="D36" s="618"/>
    </row>
    <row r="37" spans="1:4" ht="15.75" customHeight="1">
      <c r="A37" s="612"/>
      <c r="B37" s="616" t="s">
        <v>625</v>
      </c>
      <c r="C37" s="617"/>
      <c r="D37" s="618"/>
    </row>
    <row r="38" spans="1:4" ht="15.75" customHeight="1">
      <c r="A38" s="612"/>
      <c r="B38" s="616" t="s">
        <v>626</v>
      </c>
      <c r="C38" s="617"/>
      <c r="D38" s="618"/>
    </row>
    <row r="39" spans="1:4" ht="15.75" customHeight="1">
      <c r="A39" s="612"/>
      <c r="B39" s="616" t="s">
        <v>627</v>
      </c>
      <c r="C39" s="617"/>
      <c r="D39" s="618"/>
    </row>
    <row r="40" spans="1:4" ht="15.75" customHeight="1">
      <c r="A40" s="612"/>
      <c r="B40" s="616" t="s">
        <v>628</v>
      </c>
      <c r="C40" s="617"/>
      <c r="D40" s="618"/>
    </row>
    <row r="41" spans="1:4" ht="15.75" customHeight="1" thickBot="1">
      <c r="A41" s="619"/>
      <c r="B41" s="620" t="s">
        <v>629</v>
      </c>
      <c r="C41" s="621"/>
      <c r="D41" s="622"/>
    </row>
    <row r="42" spans="1:6" ht="15.75" customHeight="1" thickBot="1">
      <c r="A42" s="979" t="s">
        <v>772</v>
      </c>
      <c r="B42" s="980"/>
      <c r="C42" s="628"/>
      <c r="D42" s="626">
        <f>+D9+D10+D11+D12+D13+D18+D22+D26+D27+D28+D29+D30+D31+D32+D33+D34+D35+D36+D37+D38+D39+D40+D41</f>
        <v>0</v>
      </c>
      <c r="F42" s="629"/>
    </row>
    <row r="43" ht="15.75">
      <c r="A43" s="630" t="s">
        <v>773</v>
      </c>
    </row>
    <row r="44" spans="1:4" ht="15.75">
      <c r="A44" s="631"/>
      <c r="B44" s="631"/>
      <c r="C44" s="981"/>
      <c r="D44" s="981"/>
    </row>
    <row r="45" spans="1:2" ht="15.75">
      <c r="A45" s="632"/>
      <c r="B45" s="632"/>
    </row>
    <row r="46" spans="1:3" ht="15.75">
      <c r="A46" s="632"/>
      <c r="B46" s="632"/>
      <c r="C46" s="632"/>
    </row>
  </sheetData>
  <sheetProtection sheet="1"/>
  <mergeCells count="6">
    <mergeCell ref="A5:D5"/>
    <mergeCell ref="A42:B42"/>
    <mergeCell ref="C44:D44"/>
    <mergeCell ref="A1:D1"/>
    <mergeCell ref="A3:D3"/>
    <mergeCell ref="A4:D4"/>
  </mergeCells>
  <printOptions horizontalCentered="1"/>
  <pageMargins left="0.7874015748031497" right="0.7874015748031497" top="0.9448818897637796" bottom="0.984251968503937" header="0.7874015748031497" footer="0.7874015748031497"/>
  <pageSetup horizontalDpi="600" verticalDpi="600" orientation="portrait" paperSize="9" scale="93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zoomScale="120" zoomScaleNormal="120" zoomScalePageLayoutView="0" workbookViewId="0" topLeftCell="A1">
      <selection activeCell="I15" sqref="I15"/>
    </sheetView>
  </sheetViews>
  <sheetFormatPr defaultColWidth="9.00390625" defaultRowHeight="12.75"/>
  <cols>
    <col min="1" max="1" width="9.375" style="79" customWidth="1"/>
    <col min="2" max="2" width="51.875" style="79" customWidth="1"/>
    <col min="3" max="3" width="25.00390625" style="79" customWidth="1"/>
    <col min="4" max="4" width="22.875" style="79" customWidth="1"/>
    <col min="5" max="5" width="25.00390625" style="79" customWidth="1"/>
    <col min="6" max="6" width="5.50390625" style="79" customWidth="1"/>
    <col min="7" max="16384" width="9.375" style="79" customWidth="1"/>
  </cols>
  <sheetData>
    <row r="1" spans="1:5" ht="12.75">
      <c r="A1" s="708"/>
      <c r="B1" s="708"/>
      <c r="C1" s="708"/>
      <c r="D1" s="708"/>
      <c r="E1" s="708"/>
    </row>
    <row r="2" spans="1:5" ht="15.75">
      <c r="A2" s="813" t="str">
        <f>CONCATENATE(PROPER(Z_ALAPADATOK!A3)," tulajdonában álló gazdálkodó szervezetek működéséből származó")</f>
        <v>Kállósemjén Nagyközség Önkormányzata tulajdonában álló gazdálkodó szervezetek működéséből származó</v>
      </c>
      <c r="B2" s="813"/>
      <c r="C2" s="813"/>
      <c r="D2" s="813"/>
      <c r="E2" s="813"/>
    </row>
    <row r="3" spans="1:6" ht="15.75">
      <c r="A3" s="987" t="s">
        <v>890</v>
      </c>
      <c r="B3" s="813"/>
      <c r="C3" s="813"/>
      <c r="D3" s="813"/>
      <c r="E3" s="813"/>
      <c r="F3" s="984" t="str">
        <f>CONCATENATE("8. tájékoztató tábla ",Z_ALAPADATOK!A7," ",Z_ALAPADATOK!B7," ",Z_ALAPADATOK!C7," ",Z_ALAPADATOK!D7," ",Z_ALAPADATOK!E7," ",Z_ALAPADATOK!F7," ",Z_ALAPADATOK!G7," ",Z_ALAPADATOK!H7)</f>
        <v>8. tájékoztató tábla a 2 / 2019. ( IV.26. ) önkormányzati rendelethez</v>
      </c>
    </row>
    <row r="4" spans="1:6" ht="16.5" thickBot="1">
      <c r="A4" s="709"/>
      <c r="B4" s="708"/>
      <c r="C4" s="708"/>
      <c r="D4" s="708"/>
      <c r="E4" s="708"/>
      <c r="F4" s="984"/>
    </row>
    <row r="5" spans="1:6" ht="79.5" thickBot="1">
      <c r="A5" s="710" t="s">
        <v>631</v>
      </c>
      <c r="B5" s="711" t="s">
        <v>774</v>
      </c>
      <c r="C5" s="711" t="s">
        <v>775</v>
      </c>
      <c r="D5" s="711" t="s">
        <v>776</v>
      </c>
      <c r="E5" s="712" t="s">
        <v>777</v>
      </c>
      <c r="F5" s="984"/>
    </row>
    <row r="6" spans="1:6" ht="15.75">
      <c r="A6" s="705" t="s">
        <v>6</v>
      </c>
      <c r="B6" s="635"/>
      <c r="C6" s="636"/>
      <c r="D6" s="637"/>
      <c r="E6" s="638"/>
      <c r="F6" s="984"/>
    </row>
    <row r="7" spans="1:6" ht="15.75">
      <c r="A7" s="706" t="s">
        <v>7</v>
      </c>
      <c r="B7" s="639"/>
      <c r="C7" s="640"/>
      <c r="D7" s="641"/>
      <c r="E7" s="642"/>
      <c r="F7" s="984"/>
    </row>
    <row r="8" spans="1:6" ht="15.75">
      <c r="A8" s="706" t="s">
        <v>8</v>
      </c>
      <c r="B8" s="639"/>
      <c r="C8" s="640"/>
      <c r="D8" s="641"/>
      <c r="E8" s="642"/>
      <c r="F8" s="984"/>
    </row>
    <row r="9" spans="1:6" ht="15.75">
      <c r="A9" s="706" t="s">
        <v>9</v>
      </c>
      <c r="B9" s="639"/>
      <c r="C9" s="640"/>
      <c r="D9" s="641"/>
      <c r="E9" s="642"/>
      <c r="F9" s="984"/>
    </row>
    <row r="10" spans="1:6" ht="15.75">
      <c r="A10" s="706" t="s">
        <v>10</v>
      </c>
      <c r="B10" s="639"/>
      <c r="C10" s="640"/>
      <c r="D10" s="641"/>
      <c r="E10" s="642"/>
      <c r="F10" s="984"/>
    </row>
    <row r="11" spans="1:6" ht="15.75">
      <c r="A11" s="706" t="s">
        <v>11</v>
      </c>
      <c r="B11" s="639"/>
      <c r="C11" s="640"/>
      <c r="D11" s="641"/>
      <c r="E11" s="642"/>
      <c r="F11" s="984"/>
    </row>
    <row r="12" spans="1:6" ht="15.75">
      <c r="A12" s="706" t="s">
        <v>12</v>
      </c>
      <c r="B12" s="639"/>
      <c r="C12" s="640"/>
      <c r="D12" s="641"/>
      <c r="E12" s="642"/>
      <c r="F12" s="984"/>
    </row>
    <row r="13" spans="1:6" ht="15.75">
      <c r="A13" s="706" t="s">
        <v>13</v>
      </c>
      <c r="B13" s="639"/>
      <c r="C13" s="640"/>
      <c r="D13" s="641"/>
      <c r="E13" s="642"/>
      <c r="F13" s="984"/>
    </row>
    <row r="14" spans="1:6" ht="15.75">
      <c r="A14" s="706" t="s">
        <v>14</v>
      </c>
      <c r="B14" s="639"/>
      <c r="C14" s="640"/>
      <c r="D14" s="641"/>
      <c r="E14" s="642"/>
      <c r="F14" s="984"/>
    </row>
    <row r="15" spans="1:6" ht="15.75">
      <c r="A15" s="706" t="s">
        <v>15</v>
      </c>
      <c r="B15" s="639"/>
      <c r="C15" s="640"/>
      <c r="D15" s="641"/>
      <c r="E15" s="642"/>
      <c r="F15" s="984"/>
    </row>
    <row r="16" spans="1:6" ht="15.75">
      <c r="A16" s="706" t="s">
        <v>16</v>
      </c>
      <c r="B16" s="639"/>
      <c r="C16" s="640"/>
      <c r="D16" s="641"/>
      <c r="E16" s="642"/>
      <c r="F16" s="984"/>
    </row>
    <row r="17" spans="1:6" ht="15.75">
      <c r="A17" s="706" t="s">
        <v>17</v>
      </c>
      <c r="B17" s="639"/>
      <c r="C17" s="640"/>
      <c r="D17" s="641"/>
      <c r="E17" s="642"/>
      <c r="F17" s="984"/>
    </row>
    <row r="18" spans="1:6" ht="15.75">
      <c r="A18" s="706" t="s">
        <v>18</v>
      </c>
      <c r="B18" s="639"/>
      <c r="C18" s="640"/>
      <c r="D18" s="641"/>
      <c r="E18" s="642"/>
      <c r="F18" s="984"/>
    </row>
    <row r="19" spans="1:6" ht="15.75">
      <c r="A19" s="706" t="s">
        <v>19</v>
      </c>
      <c r="B19" s="639"/>
      <c r="C19" s="640"/>
      <c r="D19" s="641"/>
      <c r="E19" s="642"/>
      <c r="F19" s="984"/>
    </row>
    <row r="20" spans="1:6" ht="15.75">
      <c r="A20" s="706" t="s">
        <v>20</v>
      </c>
      <c r="B20" s="639"/>
      <c r="C20" s="640"/>
      <c r="D20" s="641"/>
      <c r="E20" s="642"/>
      <c r="F20" s="984"/>
    </row>
    <row r="21" spans="1:6" ht="15.75">
      <c r="A21" s="706" t="s">
        <v>21</v>
      </c>
      <c r="B21" s="639"/>
      <c r="C21" s="640"/>
      <c r="D21" s="641"/>
      <c r="E21" s="642"/>
      <c r="F21" s="984"/>
    </row>
    <row r="22" spans="1:6" ht="16.5" thickBot="1">
      <c r="A22" s="707" t="s">
        <v>22</v>
      </c>
      <c r="B22" s="643"/>
      <c r="C22" s="644"/>
      <c r="D22" s="645"/>
      <c r="E22" s="646"/>
      <c r="F22" s="984"/>
    </row>
    <row r="23" spans="1:6" ht="16.5" thickBot="1">
      <c r="A23" s="985" t="s">
        <v>778</v>
      </c>
      <c r="B23" s="986"/>
      <c r="C23" s="647"/>
      <c r="D23" s="648">
        <f>IF(SUM(D6:D22)=0,"",SUM(D6:D22))</f>
      </c>
      <c r="E23" s="649">
        <f>IF(SUM(E6:E22)=0,"",SUM(E6:E22))</f>
      </c>
      <c r="F23" s="984"/>
    </row>
    <row r="24" ht="15.75">
      <c r="A24" s="634"/>
    </row>
  </sheetData>
  <sheetProtection sheet="1"/>
  <mergeCells count="4">
    <mergeCell ref="F3:F23"/>
    <mergeCell ref="A23:B23"/>
    <mergeCell ref="A2:E2"/>
    <mergeCell ref="A3:E3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</sheetPr>
  <dimension ref="A2:C15"/>
  <sheetViews>
    <sheetView zoomScale="120" zoomScaleNormal="120" workbookViewId="0" topLeftCell="A1">
      <selection activeCell="C12" sqref="C12"/>
    </sheetView>
  </sheetViews>
  <sheetFormatPr defaultColWidth="9.00390625" defaultRowHeight="12.75"/>
  <cols>
    <col min="1" max="1" width="7.625" style="31" customWidth="1"/>
    <col min="2" max="2" width="60.875" style="31" customWidth="1"/>
    <col min="3" max="3" width="25.625" style="31" customWidth="1"/>
    <col min="4" max="16384" width="9.375" style="31" customWidth="1"/>
  </cols>
  <sheetData>
    <row r="2" spans="1:3" ht="15">
      <c r="A2" s="935" t="str">
        <f>CONCATENATE("9. tájékoztató tábla ",Z_ALAPADATOK!A7," ",Z_ALAPADATOK!B7," ",Z_ALAPADATOK!C7," ",Z_ALAPADATOK!D7," ",Z_ALAPADATOK!E7," ",Z_ALAPADATOK!F7," ",Z_ALAPADATOK!G7," ",Z_ALAPADATOK!H7)</f>
        <v>9. tájékoztató tábla a 2 / 2019. ( IV.26. ) önkormányzati rendelethez</v>
      </c>
      <c r="B2" s="989"/>
      <c r="C2" s="989"/>
    </row>
    <row r="3" spans="1:3" ht="14.25">
      <c r="A3" s="650"/>
      <c r="B3" s="650"/>
      <c r="C3" s="650"/>
    </row>
    <row r="4" spans="1:3" ht="33.75" customHeight="1">
      <c r="A4" s="988" t="s">
        <v>779</v>
      </c>
      <c r="B4" s="988"/>
      <c r="C4" s="988"/>
    </row>
    <row r="5" ht="13.5" thickBot="1">
      <c r="C5" s="651"/>
    </row>
    <row r="6" spans="1:3" s="655" customFormat="1" ht="43.5" customHeight="1" thickBot="1">
      <c r="A6" s="652" t="s">
        <v>4</v>
      </c>
      <c r="B6" s="653" t="s">
        <v>45</v>
      </c>
      <c r="C6" s="654" t="s">
        <v>780</v>
      </c>
    </row>
    <row r="7" spans="1:3" ht="28.5" customHeight="1">
      <c r="A7" s="656" t="s">
        <v>6</v>
      </c>
      <c r="B7" s="657" t="s">
        <v>891</v>
      </c>
      <c r="C7" s="768">
        <v>576575721</v>
      </c>
    </row>
    <row r="8" spans="1:3" ht="18" customHeight="1">
      <c r="A8" s="658" t="s">
        <v>7</v>
      </c>
      <c r="B8" s="659" t="s">
        <v>781</v>
      </c>
      <c r="C8" s="713">
        <v>575549487</v>
      </c>
    </row>
    <row r="9" spans="1:3" ht="18" customHeight="1">
      <c r="A9" s="658" t="s">
        <v>8</v>
      </c>
      <c r="B9" s="659" t="s">
        <v>782</v>
      </c>
      <c r="C9" s="713">
        <v>1026234</v>
      </c>
    </row>
    <row r="10" spans="1:3" ht="18" customHeight="1">
      <c r="A10" s="658" t="s">
        <v>9</v>
      </c>
      <c r="B10" s="660" t="s">
        <v>783</v>
      </c>
      <c r="C10" s="713">
        <v>1640443920</v>
      </c>
    </row>
    <row r="11" spans="1:3" ht="18" customHeight="1">
      <c r="A11" s="661" t="s">
        <v>10</v>
      </c>
      <c r="B11" s="662" t="s">
        <v>784</v>
      </c>
      <c r="C11" s="714">
        <v>1722956122</v>
      </c>
    </row>
    <row r="12" spans="1:3" ht="18" customHeight="1" thickBot="1">
      <c r="A12" s="663" t="s">
        <v>11</v>
      </c>
      <c r="B12" s="664" t="s">
        <v>785</v>
      </c>
      <c r="C12" s="715"/>
    </row>
    <row r="13" spans="1:3" ht="25.5" customHeight="1">
      <c r="A13" s="665" t="s">
        <v>12</v>
      </c>
      <c r="B13" s="666" t="s">
        <v>892</v>
      </c>
      <c r="C13" s="716">
        <f>C7+C10-C11+C12</f>
        <v>494063519</v>
      </c>
    </row>
    <row r="14" spans="1:3" ht="18" customHeight="1">
      <c r="A14" s="658" t="s">
        <v>13</v>
      </c>
      <c r="B14" s="659" t="s">
        <v>781</v>
      </c>
      <c r="C14" s="713">
        <v>492159589</v>
      </c>
    </row>
    <row r="15" spans="1:3" ht="18" customHeight="1" thickBot="1">
      <c r="A15" s="663" t="s">
        <v>14</v>
      </c>
      <c r="B15" s="667" t="s">
        <v>782</v>
      </c>
      <c r="C15" s="715">
        <v>1903930</v>
      </c>
    </row>
  </sheetData>
  <sheetProtection sheet="1"/>
  <mergeCells count="2">
    <mergeCell ref="A4:C4"/>
    <mergeCell ref="A2:C2"/>
  </mergeCells>
  <printOptions horizontalCentered="1"/>
  <pageMargins left="0.7874015748031497" right="0.7874015748031497" top="0.984251968503937" bottom="0.984251968503937" header="0.7874015748031497" footer="0.7874015748031497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6"/>
  <sheetViews>
    <sheetView zoomScale="120" zoomScaleNormal="120" zoomScaleSheetLayoutView="100" workbookViewId="0" topLeftCell="A1">
      <selection activeCell="E40" sqref="E40"/>
    </sheetView>
  </sheetViews>
  <sheetFormatPr defaultColWidth="9.00390625" defaultRowHeight="12.75"/>
  <cols>
    <col min="1" max="1" width="9.50390625" style="154" customWidth="1"/>
    <col min="2" max="2" width="65.875" style="154" customWidth="1"/>
    <col min="3" max="3" width="17.875" style="155" customWidth="1"/>
    <col min="4" max="5" width="17.875" style="176" customWidth="1"/>
    <col min="6" max="16384" width="9.375" style="176" customWidth="1"/>
  </cols>
  <sheetData>
    <row r="1" spans="1:5" ht="15.75">
      <c r="A1" s="380"/>
      <c r="B1" s="795" t="str">
        <f>CONCATENATE("1.1. melléklet ",Z_ALAPADATOK!A7," ",Z_ALAPADATOK!B7," ",Z_ALAPADATOK!C7," ",Z_ALAPADATOK!D7," ",Z_ALAPADATOK!E7," ",Z_ALAPADATOK!F7," ",Z_ALAPADATOK!G7," ",Z_ALAPADATOK!H7)</f>
        <v>1.1. melléklet a 2 / 2019. ( IV.26. ) önkormányzati rendelethez</v>
      </c>
      <c r="C1" s="796"/>
      <c r="D1" s="796"/>
      <c r="E1" s="796"/>
    </row>
    <row r="2" spans="1:5" ht="15.75">
      <c r="A2" s="797" t="str">
        <f>CONCATENATE(Z_ALAPADATOK!A3)</f>
        <v>Kállósemjén Nagyközség Önkormányzata</v>
      </c>
      <c r="B2" s="798"/>
      <c r="C2" s="798"/>
      <c r="D2" s="798"/>
      <c r="E2" s="798"/>
    </row>
    <row r="3" spans="1:5" ht="15.75">
      <c r="A3" s="797" t="s">
        <v>856</v>
      </c>
      <c r="B3" s="797"/>
      <c r="C3" s="799"/>
      <c r="D3" s="797"/>
      <c r="E3" s="797"/>
    </row>
    <row r="4" spans="1:5" ht="12" customHeight="1">
      <c r="A4" s="797"/>
      <c r="B4" s="797"/>
      <c r="C4" s="799"/>
      <c r="D4" s="797"/>
      <c r="E4" s="797"/>
    </row>
    <row r="5" spans="1:5" ht="15.75">
      <c r="A5" s="380"/>
      <c r="B5" s="380"/>
      <c r="C5" s="381"/>
      <c r="D5" s="382"/>
      <c r="E5" s="382"/>
    </row>
    <row r="6" spans="1:5" ht="15.75" customHeight="1">
      <c r="A6" s="809" t="s">
        <v>3</v>
      </c>
      <c r="B6" s="809"/>
      <c r="C6" s="809"/>
      <c r="D6" s="809"/>
      <c r="E6" s="809"/>
    </row>
    <row r="7" spans="1:5" ht="15.75" customHeight="1" thickBot="1">
      <c r="A7" s="811" t="s">
        <v>102</v>
      </c>
      <c r="B7" s="811"/>
      <c r="C7" s="383"/>
      <c r="D7" s="382"/>
      <c r="E7" s="383" t="s">
        <v>499</v>
      </c>
    </row>
    <row r="8" spans="1:5" ht="15.75">
      <c r="A8" s="801" t="s">
        <v>52</v>
      </c>
      <c r="B8" s="803" t="s">
        <v>5</v>
      </c>
      <c r="C8" s="805" t="str">
        <f>+CONCATENATE(LEFT(Z_ÖSSZEFÜGGÉSEK!A6,4),". évi")</f>
        <v>2018. évi</v>
      </c>
      <c r="D8" s="806"/>
      <c r="E8" s="807"/>
    </row>
    <row r="9" spans="1:5" ht="24.75" thickBot="1">
      <c r="A9" s="802"/>
      <c r="B9" s="804"/>
      <c r="C9" s="250" t="s">
        <v>421</v>
      </c>
      <c r="D9" s="249" t="s">
        <v>422</v>
      </c>
      <c r="E9" s="369" t="str">
        <f>+CONCATENATE(LEFT(Z_ÖSSZEFÜGGÉSEK!A6,4),". XII. 31.",CHAR(10),"teljesítés")</f>
        <v>2018. XII. 31.
teljesítés</v>
      </c>
    </row>
    <row r="10" spans="1:5" s="177" customFormat="1" ht="12" customHeight="1" thickBot="1">
      <c r="A10" s="173" t="s">
        <v>388</v>
      </c>
      <c r="B10" s="174" t="s">
        <v>389</v>
      </c>
      <c r="C10" s="174" t="s">
        <v>390</v>
      </c>
      <c r="D10" s="174" t="s">
        <v>392</v>
      </c>
      <c r="E10" s="251" t="s">
        <v>391</v>
      </c>
    </row>
    <row r="11" spans="1:5" s="178" customFormat="1" ht="12" customHeight="1" thickBot="1">
      <c r="A11" s="18" t="s">
        <v>6</v>
      </c>
      <c r="B11" s="19" t="s">
        <v>162</v>
      </c>
      <c r="C11" s="166">
        <f>+C12+C13+C14+C15+C16+C17</f>
        <v>282510000</v>
      </c>
      <c r="D11" s="166">
        <f>+D12+D13+D14+D15+D16+D17</f>
        <v>293703971</v>
      </c>
      <c r="E11" s="102">
        <f>+E12+E13+E14+E15+E16+E17</f>
        <v>277335831</v>
      </c>
    </row>
    <row r="12" spans="1:5" s="178" customFormat="1" ht="12" customHeight="1">
      <c r="A12" s="13" t="s">
        <v>64</v>
      </c>
      <c r="B12" s="179" t="s">
        <v>163</v>
      </c>
      <c r="C12" s="168">
        <v>128228568</v>
      </c>
      <c r="D12" s="168">
        <v>128228568</v>
      </c>
      <c r="E12" s="104">
        <v>128354838</v>
      </c>
    </row>
    <row r="13" spans="1:5" s="178" customFormat="1" ht="12" customHeight="1">
      <c r="A13" s="12" t="s">
        <v>65</v>
      </c>
      <c r="B13" s="180" t="s">
        <v>164</v>
      </c>
      <c r="C13" s="167">
        <v>62145100</v>
      </c>
      <c r="D13" s="167">
        <v>62145100</v>
      </c>
      <c r="E13" s="103">
        <v>61997800</v>
      </c>
    </row>
    <row r="14" spans="1:5" s="178" customFormat="1" ht="12" customHeight="1">
      <c r="A14" s="12" t="s">
        <v>66</v>
      </c>
      <c r="B14" s="180" t="s">
        <v>165</v>
      </c>
      <c r="C14" s="167">
        <v>64367285</v>
      </c>
      <c r="D14" s="167">
        <v>64922059</v>
      </c>
      <c r="E14" s="103">
        <v>64922059</v>
      </c>
    </row>
    <row r="15" spans="1:5" s="178" customFormat="1" ht="12" customHeight="1">
      <c r="A15" s="12" t="s">
        <v>67</v>
      </c>
      <c r="B15" s="180" t="s">
        <v>166</v>
      </c>
      <c r="C15" s="167">
        <v>4541130</v>
      </c>
      <c r="D15" s="167">
        <v>5588560</v>
      </c>
      <c r="E15" s="103">
        <v>6036701</v>
      </c>
    </row>
    <row r="16" spans="1:5" s="178" customFormat="1" ht="12" customHeight="1">
      <c r="A16" s="12" t="s">
        <v>99</v>
      </c>
      <c r="B16" s="110" t="s">
        <v>336</v>
      </c>
      <c r="C16" s="167">
        <v>23227917</v>
      </c>
      <c r="D16" s="167">
        <v>32819684</v>
      </c>
      <c r="E16" s="103">
        <v>16024433</v>
      </c>
    </row>
    <row r="17" spans="1:5" s="178" customFormat="1" ht="12" customHeight="1" thickBot="1">
      <c r="A17" s="14" t="s">
        <v>68</v>
      </c>
      <c r="B17" s="111" t="s">
        <v>337</v>
      </c>
      <c r="C17" s="167"/>
      <c r="D17" s="167"/>
      <c r="E17" s="103"/>
    </row>
    <row r="18" spans="1:5" s="178" customFormat="1" ht="12" customHeight="1" thickBot="1">
      <c r="A18" s="18" t="s">
        <v>7</v>
      </c>
      <c r="B18" s="109" t="s">
        <v>167</v>
      </c>
      <c r="C18" s="166">
        <f>+C19+C20+C21+C22+C23</f>
        <v>130598640</v>
      </c>
      <c r="D18" s="166">
        <f>+D19+D20+D21+D22+D23</f>
        <v>138627724</v>
      </c>
      <c r="E18" s="102">
        <f>+E19+E20+E21+E22+E23</f>
        <v>204001756</v>
      </c>
    </row>
    <row r="19" spans="1:5" s="178" customFormat="1" ht="12" customHeight="1">
      <c r="A19" s="13" t="s">
        <v>70</v>
      </c>
      <c r="B19" s="179" t="s">
        <v>168</v>
      </c>
      <c r="C19" s="168"/>
      <c r="D19" s="168"/>
      <c r="E19" s="104"/>
    </row>
    <row r="20" spans="1:5" s="178" customFormat="1" ht="12" customHeight="1">
      <c r="A20" s="12" t="s">
        <v>71</v>
      </c>
      <c r="B20" s="180" t="s">
        <v>169</v>
      </c>
      <c r="C20" s="167"/>
      <c r="D20" s="167"/>
      <c r="E20" s="103"/>
    </row>
    <row r="21" spans="1:5" s="178" customFormat="1" ht="12" customHeight="1">
      <c r="A21" s="12" t="s">
        <v>72</v>
      </c>
      <c r="B21" s="180" t="s">
        <v>328</v>
      </c>
      <c r="C21" s="167"/>
      <c r="D21" s="167"/>
      <c r="E21" s="103"/>
    </row>
    <row r="22" spans="1:5" s="178" customFormat="1" ht="12" customHeight="1">
      <c r="A22" s="12" t="s">
        <v>73</v>
      </c>
      <c r="B22" s="180" t="s">
        <v>329</v>
      </c>
      <c r="C22" s="167"/>
      <c r="D22" s="167"/>
      <c r="E22" s="103"/>
    </row>
    <row r="23" spans="1:5" s="178" customFormat="1" ht="12" customHeight="1">
      <c r="A23" s="12" t="s">
        <v>74</v>
      </c>
      <c r="B23" s="180" t="s">
        <v>170</v>
      </c>
      <c r="C23" s="167">
        <v>130598640</v>
      </c>
      <c r="D23" s="167">
        <v>138627724</v>
      </c>
      <c r="E23" s="103">
        <v>204001756</v>
      </c>
    </row>
    <row r="24" spans="1:5" s="178" customFormat="1" ht="12" customHeight="1" thickBot="1">
      <c r="A24" s="14" t="s">
        <v>81</v>
      </c>
      <c r="B24" s="111" t="s">
        <v>171</v>
      </c>
      <c r="C24" s="169"/>
      <c r="D24" s="169"/>
      <c r="E24" s="105">
        <v>62625095</v>
      </c>
    </row>
    <row r="25" spans="1:5" s="178" customFormat="1" ht="12" customHeight="1" thickBot="1">
      <c r="A25" s="18" t="s">
        <v>8</v>
      </c>
      <c r="B25" s="19" t="s">
        <v>172</v>
      </c>
      <c r="C25" s="166">
        <f>+C26+C27+C28+C29+C30</f>
        <v>2840403</v>
      </c>
      <c r="D25" s="166">
        <f>+D26+D27+D28+D29+D30</f>
        <v>43339733</v>
      </c>
      <c r="E25" s="102">
        <f>+E26+E27+E28+E29+E30</f>
        <v>51577821</v>
      </c>
    </row>
    <row r="26" spans="1:5" s="178" customFormat="1" ht="12" customHeight="1">
      <c r="A26" s="13" t="s">
        <v>53</v>
      </c>
      <c r="B26" s="179" t="s">
        <v>173</v>
      </c>
      <c r="C26" s="168"/>
      <c r="D26" s="168">
        <v>107000</v>
      </c>
      <c r="E26" s="104">
        <v>107000</v>
      </c>
    </row>
    <row r="27" spans="1:5" s="178" customFormat="1" ht="12" customHeight="1">
      <c r="A27" s="12" t="s">
        <v>54</v>
      </c>
      <c r="B27" s="180" t="s">
        <v>174</v>
      </c>
      <c r="C27" s="167"/>
      <c r="D27" s="167"/>
      <c r="E27" s="103"/>
    </row>
    <row r="28" spans="1:5" s="178" customFormat="1" ht="12" customHeight="1">
      <c r="A28" s="12" t="s">
        <v>55</v>
      </c>
      <c r="B28" s="180" t="s">
        <v>330</v>
      </c>
      <c r="C28" s="167"/>
      <c r="D28" s="167"/>
      <c r="E28" s="103"/>
    </row>
    <row r="29" spans="1:5" s="178" customFormat="1" ht="12" customHeight="1">
      <c r="A29" s="12" t="s">
        <v>56</v>
      </c>
      <c r="B29" s="180" t="s">
        <v>331</v>
      </c>
      <c r="C29" s="167"/>
      <c r="D29" s="167"/>
      <c r="E29" s="103"/>
    </row>
    <row r="30" spans="1:5" s="178" customFormat="1" ht="12" customHeight="1">
      <c r="A30" s="12" t="s">
        <v>112</v>
      </c>
      <c r="B30" s="180" t="s">
        <v>175</v>
      </c>
      <c r="C30" s="167">
        <v>2840403</v>
      </c>
      <c r="D30" s="167">
        <v>43232733</v>
      </c>
      <c r="E30" s="103">
        <v>51470821</v>
      </c>
    </row>
    <row r="31" spans="1:5" s="178" customFormat="1" ht="12" customHeight="1" thickBot="1">
      <c r="A31" s="14" t="s">
        <v>113</v>
      </c>
      <c r="B31" s="181" t="s">
        <v>176</v>
      </c>
      <c r="C31" s="169"/>
      <c r="D31" s="169"/>
      <c r="E31" s="105">
        <v>33204317</v>
      </c>
    </row>
    <row r="32" spans="1:5" s="178" customFormat="1" ht="12" customHeight="1" thickBot="1">
      <c r="A32" s="18" t="s">
        <v>114</v>
      </c>
      <c r="B32" s="19" t="s">
        <v>487</v>
      </c>
      <c r="C32" s="172">
        <f>SUM(C33:C39)</f>
        <v>52320000</v>
      </c>
      <c r="D32" s="172">
        <f>SUM(D33:D39)</f>
        <v>53230155</v>
      </c>
      <c r="E32" s="208">
        <f>SUM(E33:E39)</f>
        <v>58430424</v>
      </c>
    </row>
    <row r="33" spans="1:5" s="178" customFormat="1" ht="12" customHeight="1">
      <c r="A33" s="13" t="s">
        <v>177</v>
      </c>
      <c r="B33" s="179" t="s">
        <v>899</v>
      </c>
      <c r="C33" s="168">
        <v>13800000</v>
      </c>
      <c r="D33" s="168">
        <v>13800000</v>
      </c>
      <c r="E33" s="104">
        <v>11287289</v>
      </c>
    </row>
    <row r="34" spans="1:5" s="178" customFormat="1" ht="12" customHeight="1">
      <c r="A34" s="12" t="s">
        <v>178</v>
      </c>
      <c r="B34" s="180" t="s">
        <v>489</v>
      </c>
      <c r="C34" s="167"/>
      <c r="D34" s="167"/>
      <c r="E34" s="103"/>
    </row>
    <row r="35" spans="1:5" s="178" customFormat="1" ht="12" customHeight="1">
      <c r="A35" s="12" t="s">
        <v>179</v>
      </c>
      <c r="B35" s="180" t="s">
        <v>490</v>
      </c>
      <c r="C35" s="167">
        <v>29300000</v>
      </c>
      <c r="D35" s="167">
        <v>29705353</v>
      </c>
      <c r="E35" s="103">
        <v>38556174</v>
      </c>
    </row>
    <row r="36" spans="1:5" s="178" customFormat="1" ht="12" customHeight="1">
      <c r="A36" s="12" t="s">
        <v>180</v>
      </c>
      <c r="B36" s="180" t="s">
        <v>491</v>
      </c>
      <c r="C36" s="167">
        <v>650000</v>
      </c>
      <c r="D36" s="167">
        <v>650000</v>
      </c>
      <c r="E36" s="103"/>
    </row>
    <row r="37" spans="1:5" s="178" customFormat="1" ht="12" customHeight="1">
      <c r="A37" s="12" t="s">
        <v>492</v>
      </c>
      <c r="B37" s="180" t="s">
        <v>181</v>
      </c>
      <c r="C37" s="167">
        <v>7220000</v>
      </c>
      <c r="D37" s="167">
        <v>7724802</v>
      </c>
      <c r="E37" s="103">
        <v>7724802</v>
      </c>
    </row>
    <row r="38" spans="1:5" s="178" customFormat="1" ht="12" customHeight="1">
      <c r="A38" s="12" t="s">
        <v>493</v>
      </c>
      <c r="B38" s="180" t="s">
        <v>182</v>
      </c>
      <c r="C38" s="167"/>
      <c r="D38" s="167"/>
      <c r="E38" s="103"/>
    </row>
    <row r="39" spans="1:5" s="178" customFormat="1" ht="12" customHeight="1" thickBot="1">
      <c r="A39" s="14" t="s">
        <v>494</v>
      </c>
      <c r="B39" s="329" t="s">
        <v>183</v>
      </c>
      <c r="C39" s="169">
        <v>1350000</v>
      </c>
      <c r="D39" s="169">
        <v>1350000</v>
      </c>
      <c r="E39" s="105">
        <v>862159</v>
      </c>
    </row>
    <row r="40" spans="1:5" s="178" customFormat="1" ht="12" customHeight="1" thickBot="1">
      <c r="A40" s="18" t="s">
        <v>10</v>
      </c>
      <c r="B40" s="19" t="s">
        <v>338</v>
      </c>
      <c r="C40" s="166">
        <f>SUM(C41:C51)</f>
        <v>44771418</v>
      </c>
      <c r="D40" s="166">
        <f>SUM(D41:D51)</f>
        <v>63487592</v>
      </c>
      <c r="E40" s="102">
        <f>SUM(E41:E51)</f>
        <v>65058634</v>
      </c>
    </row>
    <row r="41" spans="1:5" s="178" customFormat="1" ht="12" customHeight="1">
      <c r="A41" s="13" t="s">
        <v>57</v>
      </c>
      <c r="B41" s="179" t="s">
        <v>186</v>
      </c>
      <c r="C41" s="168">
        <v>10000</v>
      </c>
      <c r="D41" s="168">
        <v>3848986</v>
      </c>
      <c r="E41" s="104">
        <v>3976439</v>
      </c>
    </row>
    <row r="42" spans="1:5" s="178" customFormat="1" ht="12" customHeight="1">
      <c r="A42" s="12" t="s">
        <v>58</v>
      </c>
      <c r="B42" s="180" t="s">
        <v>187</v>
      </c>
      <c r="C42" s="167">
        <v>7137341</v>
      </c>
      <c r="D42" s="167">
        <v>14498276</v>
      </c>
      <c r="E42" s="103">
        <v>15821418</v>
      </c>
    </row>
    <row r="43" spans="1:5" s="178" customFormat="1" ht="12" customHeight="1">
      <c r="A43" s="12" t="s">
        <v>59</v>
      </c>
      <c r="B43" s="180" t="s">
        <v>188</v>
      </c>
      <c r="C43" s="167"/>
      <c r="D43" s="167">
        <v>540043</v>
      </c>
      <c r="E43" s="103">
        <v>540043</v>
      </c>
    </row>
    <row r="44" spans="1:5" s="178" customFormat="1" ht="12" customHeight="1">
      <c r="A44" s="12" t="s">
        <v>116</v>
      </c>
      <c r="B44" s="180" t="s">
        <v>189</v>
      </c>
      <c r="C44" s="167"/>
      <c r="D44" s="167"/>
      <c r="E44" s="103"/>
    </row>
    <row r="45" spans="1:5" s="178" customFormat="1" ht="12" customHeight="1">
      <c r="A45" s="12" t="s">
        <v>117</v>
      </c>
      <c r="B45" s="180" t="s">
        <v>190</v>
      </c>
      <c r="C45" s="167">
        <v>25390290</v>
      </c>
      <c r="D45" s="167">
        <v>25496941</v>
      </c>
      <c r="E45" s="103">
        <v>14933005</v>
      </c>
    </row>
    <row r="46" spans="1:5" s="178" customFormat="1" ht="12" customHeight="1">
      <c r="A46" s="12" t="s">
        <v>118</v>
      </c>
      <c r="B46" s="180" t="s">
        <v>191</v>
      </c>
      <c r="C46" s="167">
        <v>8733787</v>
      </c>
      <c r="D46" s="167">
        <v>10161076</v>
      </c>
      <c r="E46" s="103">
        <v>11060047</v>
      </c>
    </row>
    <row r="47" spans="1:5" s="178" customFormat="1" ht="12" customHeight="1">
      <c r="A47" s="12" t="s">
        <v>119</v>
      </c>
      <c r="B47" s="180" t="s">
        <v>192</v>
      </c>
      <c r="C47" s="167"/>
      <c r="D47" s="167"/>
      <c r="E47" s="103"/>
    </row>
    <row r="48" spans="1:5" s="178" customFormat="1" ht="12" customHeight="1">
      <c r="A48" s="12" t="s">
        <v>120</v>
      </c>
      <c r="B48" s="180" t="s">
        <v>495</v>
      </c>
      <c r="C48" s="167"/>
      <c r="D48" s="167">
        <v>233719</v>
      </c>
      <c r="E48" s="103">
        <v>2441887</v>
      </c>
    </row>
    <row r="49" spans="1:5" s="178" customFormat="1" ht="12" customHeight="1">
      <c r="A49" s="12" t="s">
        <v>184</v>
      </c>
      <c r="B49" s="180" t="s">
        <v>194</v>
      </c>
      <c r="C49" s="170"/>
      <c r="D49" s="170"/>
      <c r="E49" s="106"/>
    </row>
    <row r="50" spans="1:5" s="178" customFormat="1" ht="12" customHeight="1">
      <c r="A50" s="14" t="s">
        <v>185</v>
      </c>
      <c r="B50" s="181" t="s">
        <v>340</v>
      </c>
      <c r="C50" s="171"/>
      <c r="D50" s="171"/>
      <c r="E50" s="107"/>
    </row>
    <row r="51" spans="1:5" s="178" customFormat="1" ht="12" customHeight="1" thickBot="1">
      <c r="A51" s="14" t="s">
        <v>339</v>
      </c>
      <c r="B51" s="111" t="s">
        <v>195</v>
      </c>
      <c r="C51" s="171">
        <v>3500000</v>
      </c>
      <c r="D51" s="171">
        <v>8708551</v>
      </c>
      <c r="E51" s="107">
        <v>16285795</v>
      </c>
    </row>
    <row r="52" spans="1:5" s="178" customFormat="1" ht="12" customHeight="1" thickBot="1">
      <c r="A52" s="18" t="s">
        <v>11</v>
      </c>
      <c r="B52" s="19" t="s">
        <v>196</v>
      </c>
      <c r="C52" s="166">
        <f>SUM(C53:C57)</f>
        <v>23494885</v>
      </c>
      <c r="D52" s="166">
        <f>SUM(D53:D57)</f>
        <v>23494885</v>
      </c>
      <c r="E52" s="102">
        <f>SUM(E53:E57)</f>
        <v>0</v>
      </c>
    </row>
    <row r="53" spans="1:5" s="178" customFormat="1" ht="12" customHeight="1">
      <c r="A53" s="13" t="s">
        <v>60</v>
      </c>
      <c r="B53" s="179" t="s">
        <v>200</v>
      </c>
      <c r="C53" s="219"/>
      <c r="D53" s="219"/>
      <c r="E53" s="108"/>
    </row>
    <row r="54" spans="1:5" s="178" customFormat="1" ht="12" customHeight="1">
      <c r="A54" s="12" t="s">
        <v>61</v>
      </c>
      <c r="B54" s="180" t="s">
        <v>201</v>
      </c>
      <c r="C54" s="170">
        <v>23494885</v>
      </c>
      <c r="D54" s="170">
        <v>23494885</v>
      </c>
      <c r="E54" s="106"/>
    </row>
    <row r="55" spans="1:5" s="178" customFormat="1" ht="12" customHeight="1">
      <c r="A55" s="12" t="s">
        <v>197</v>
      </c>
      <c r="B55" s="180" t="s">
        <v>202</v>
      </c>
      <c r="C55" s="170"/>
      <c r="D55" s="170"/>
      <c r="E55" s="106"/>
    </row>
    <row r="56" spans="1:5" s="178" customFormat="1" ht="12" customHeight="1">
      <c r="A56" s="12" t="s">
        <v>198</v>
      </c>
      <c r="B56" s="180" t="s">
        <v>203</v>
      </c>
      <c r="C56" s="170"/>
      <c r="D56" s="170"/>
      <c r="E56" s="106"/>
    </row>
    <row r="57" spans="1:5" s="178" customFormat="1" ht="12" customHeight="1" thickBot="1">
      <c r="A57" s="14" t="s">
        <v>199</v>
      </c>
      <c r="B57" s="111" t="s">
        <v>204</v>
      </c>
      <c r="C57" s="171"/>
      <c r="D57" s="171"/>
      <c r="E57" s="107"/>
    </row>
    <row r="58" spans="1:5" s="178" customFormat="1" ht="12" customHeight="1" thickBot="1">
      <c r="A58" s="18" t="s">
        <v>121</v>
      </c>
      <c r="B58" s="19" t="s">
        <v>205</v>
      </c>
      <c r="C58" s="166">
        <f>SUM(C59:C61)</f>
        <v>0</v>
      </c>
      <c r="D58" s="166">
        <f>SUM(D59:D61)</f>
        <v>2227930</v>
      </c>
      <c r="E58" s="102">
        <f>SUM(E59:E61)</f>
        <v>9926388</v>
      </c>
    </row>
    <row r="59" spans="1:5" s="178" customFormat="1" ht="12" customHeight="1">
      <c r="A59" s="13" t="s">
        <v>62</v>
      </c>
      <c r="B59" s="179" t="s">
        <v>206</v>
      </c>
      <c r="C59" s="168"/>
      <c r="D59" s="168"/>
      <c r="E59" s="104"/>
    </row>
    <row r="60" spans="1:5" s="178" customFormat="1" ht="12" customHeight="1">
      <c r="A60" s="12" t="s">
        <v>63</v>
      </c>
      <c r="B60" s="180" t="s">
        <v>332</v>
      </c>
      <c r="C60" s="167"/>
      <c r="D60" s="167">
        <v>2007930</v>
      </c>
      <c r="E60" s="103">
        <v>2109155</v>
      </c>
    </row>
    <row r="61" spans="1:5" s="178" customFormat="1" ht="12" customHeight="1">
      <c r="A61" s="12" t="s">
        <v>209</v>
      </c>
      <c r="B61" s="180" t="s">
        <v>207</v>
      </c>
      <c r="C61" s="167"/>
      <c r="D61" s="167">
        <v>220000</v>
      </c>
      <c r="E61" s="103">
        <v>7817233</v>
      </c>
    </row>
    <row r="62" spans="1:5" s="178" customFormat="1" ht="12" customHeight="1" thickBot="1">
      <c r="A62" s="14" t="s">
        <v>210</v>
      </c>
      <c r="B62" s="111" t="s">
        <v>208</v>
      </c>
      <c r="C62" s="169"/>
      <c r="D62" s="169"/>
      <c r="E62" s="105"/>
    </row>
    <row r="63" spans="1:5" s="178" customFormat="1" ht="12" customHeight="1" thickBot="1">
      <c r="A63" s="18" t="s">
        <v>13</v>
      </c>
      <c r="B63" s="109" t="s">
        <v>211</v>
      </c>
      <c r="C63" s="166">
        <f>SUM(C64:C66)</f>
        <v>0</v>
      </c>
      <c r="D63" s="166">
        <f>SUM(D64:D66)</f>
        <v>0</v>
      </c>
      <c r="E63" s="102">
        <f>SUM(E64:E66)</f>
        <v>3752010</v>
      </c>
    </row>
    <row r="64" spans="1:5" s="178" customFormat="1" ht="12" customHeight="1">
      <c r="A64" s="13" t="s">
        <v>122</v>
      </c>
      <c r="B64" s="179" t="s">
        <v>213</v>
      </c>
      <c r="C64" s="170"/>
      <c r="D64" s="170"/>
      <c r="E64" s="106"/>
    </row>
    <row r="65" spans="1:5" s="178" customFormat="1" ht="12" customHeight="1">
      <c r="A65" s="12" t="s">
        <v>123</v>
      </c>
      <c r="B65" s="180" t="s">
        <v>333</v>
      </c>
      <c r="C65" s="170"/>
      <c r="D65" s="170"/>
      <c r="E65" s="106"/>
    </row>
    <row r="66" spans="1:5" s="178" customFormat="1" ht="12" customHeight="1">
      <c r="A66" s="12" t="s">
        <v>146</v>
      </c>
      <c r="B66" s="180" t="s">
        <v>214</v>
      </c>
      <c r="C66" s="170"/>
      <c r="D66" s="170"/>
      <c r="E66" s="106">
        <v>3752010</v>
      </c>
    </row>
    <row r="67" spans="1:5" s="178" customFormat="1" ht="12" customHeight="1" thickBot="1">
      <c r="A67" s="14" t="s">
        <v>212</v>
      </c>
      <c r="B67" s="111" t="s">
        <v>215</v>
      </c>
      <c r="C67" s="170"/>
      <c r="D67" s="170"/>
      <c r="E67" s="106"/>
    </row>
    <row r="68" spans="1:5" s="178" customFormat="1" ht="12" customHeight="1" thickBot="1">
      <c r="A68" s="233" t="s">
        <v>380</v>
      </c>
      <c r="B68" s="19" t="s">
        <v>216</v>
      </c>
      <c r="C68" s="172">
        <f>+C11+C18+C25+C32+C40+C52+C58+C63</f>
        <v>536535346</v>
      </c>
      <c r="D68" s="172">
        <f>+D11+D18+D25+D32+D40+D52+D58+D63</f>
        <v>618111990</v>
      </c>
      <c r="E68" s="208">
        <f>+E11+E18+E25+E32+E40+E52+E58+E63</f>
        <v>670082864</v>
      </c>
    </row>
    <row r="69" spans="1:5" s="178" customFormat="1" ht="12" customHeight="1" thickBot="1">
      <c r="A69" s="220" t="s">
        <v>217</v>
      </c>
      <c r="B69" s="109" t="s">
        <v>218</v>
      </c>
      <c r="C69" s="166">
        <f>SUM(C70:C72)</f>
        <v>0</v>
      </c>
      <c r="D69" s="166">
        <f>SUM(D70:D72)</f>
        <v>0</v>
      </c>
      <c r="E69" s="102">
        <f>SUM(E70:E72)</f>
        <v>0</v>
      </c>
    </row>
    <row r="70" spans="1:5" s="178" customFormat="1" ht="12" customHeight="1">
      <c r="A70" s="13" t="s">
        <v>246</v>
      </c>
      <c r="B70" s="179" t="s">
        <v>219</v>
      </c>
      <c r="C70" s="170"/>
      <c r="D70" s="170"/>
      <c r="E70" s="106"/>
    </row>
    <row r="71" spans="1:5" s="178" customFormat="1" ht="12" customHeight="1">
      <c r="A71" s="12" t="s">
        <v>255</v>
      </c>
      <c r="B71" s="180" t="s">
        <v>220</v>
      </c>
      <c r="C71" s="170"/>
      <c r="D71" s="170"/>
      <c r="E71" s="106"/>
    </row>
    <row r="72" spans="1:5" s="178" customFormat="1" ht="12" customHeight="1" thickBot="1">
      <c r="A72" s="14" t="s">
        <v>256</v>
      </c>
      <c r="B72" s="229" t="s">
        <v>365</v>
      </c>
      <c r="C72" s="170"/>
      <c r="D72" s="170"/>
      <c r="E72" s="106"/>
    </row>
    <row r="73" spans="1:5" s="178" customFormat="1" ht="12" customHeight="1" thickBot="1">
      <c r="A73" s="220" t="s">
        <v>222</v>
      </c>
      <c r="B73" s="109" t="s">
        <v>223</v>
      </c>
      <c r="C73" s="166">
        <f>SUM(C74:C77)</f>
        <v>0</v>
      </c>
      <c r="D73" s="166">
        <f>SUM(D74:D77)</f>
        <v>0</v>
      </c>
      <c r="E73" s="102">
        <f>SUM(E74:E77)</f>
        <v>0</v>
      </c>
    </row>
    <row r="74" spans="1:5" s="178" customFormat="1" ht="12" customHeight="1">
      <c r="A74" s="13" t="s">
        <v>100</v>
      </c>
      <c r="B74" s="367" t="s">
        <v>224</v>
      </c>
      <c r="C74" s="170"/>
      <c r="D74" s="170"/>
      <c r="E74" s="106"/>
    </row>
    <row r="75" spans="1:5" s="178" customFormat="1" ht="12" customHeight="1">
      <c r="A75" s="12" t="s">
        <v>101</v>
      </c>
      <c r="B75" s="367" t="s">
        <v>502</v>
      </c>
      <c r="C75" s="170"/>
      <c r="D75" s="170"/>
      <c r="E75" s="106"/>
    </row>
    <row r="76" spans="1:5" s="178" customFormat="1" ht="12" customHeight="1">
      <c r="A76" s="12" t="s">
        <v>247</v>
      </c>
      <c r="B76" s="367" t="s">
        <v>225</v>
      </c>
      <c r="C76" s="170"/>
      <c r="D76" s="170"/>
      <c r="E76" s="106"/>
    </row>
    <row r="77" spans="1:5" s="178" customFormat="1" ht="12" customHeight="1" thickBot="1">
      <c r="A77" s="14" t="s">
        <v>248</v>
      </c>
      <c r="B77" s="368" t="s">
        <v>503</v>
      </c>
      <c r="C77" s="170"/>
      <c r="D77" s="170"/>
      <c r="E77" s="106"/>
    </row>
    <row r="78" spans="1:5" s="178" customFormat="1" ht="12" customHeight="1" thickBot="1">
      <c r="A78" s="220" t="s">
        <v>226</v>
      </c>
      <c r="B78" s="109" t="s">
        <v>227</v>
      </c>
      <c r="C78" s="166">
        <f>SUM(C79:C80)</f>
        <v>0</v>
      </c>
      <c r="D78" s="166">
        <f>SUM(D79:D80)</f>
        <v>261853286</v>
      </c>
      <c r="E78" s="102">
        <f>SUM(E79:E80)</f>
        <v>794759738</v>
      </c>
    </row>
    <row r="79" spans="1:5" s="178" customFormat="1" ht="12" customHeight="1">
      <c r="A79" s="13" t="s">
        <v>249</v>
      </c>
      <c r="B79" s="179" t="s">
        <v>228</v>
      </c>
      <c r="C79" s="170"/>
      <c r="D79" s="170">
        <v>261853286</v>
      </c>
      <c r="E79" s="106">
        <v>494759738</v>
      </c>
    </row>
    <row r="80" spans="1:5" s="178" customFormat="1" ht="12" customHeight="1" thickBot="1">
      <c r="A80" s="14" t="s">
        <v>250</v>
      </c>
      <c r="B80" s="111" t="s">
        <v>902</v>
      </c>
      <c r="C80" s="170"/>
      <c r="D80" s="170"/>
      <c r="E80" s="106">
        <v>300000000</v>
      </c>
    </row>
    <row r="81" spans="1:5" s="178" customFormat="1" ht="12" customHeight="1" thickBot="1">
      <c r="A81" s="220" t="s">
        <v>230</v>
      </c>
      <c r="B81" s="109" t="s">
        <v>231</v>
      </c>
      <c r="C81" s="166">
        <f>SUM(C82:C84)</f>
        <v>157271416</v>
      </c>
      <c r="D81" s="166">
        <f>SUM(D82:D84)</f>
        <v>166008794</v>
      </c>
      <c r="E81" s="102">
        <f>SUM(E82:E84)</f>
        <v>173324365</v>
      </c>
    </row>
    <row r="82" spans="1:5" s="178" customFormat="1" ht="12" customHeight="1">
      <c r="A82" s="13" t="s">
        <v>251</v>
      </c>
      <c r="B82" s="179" t="s">
        <v>232</v>
      </c>
      <c r="C82" s="170"/>
      <c r="D82" s="170"/>
      <c r="E82" s="106">
        <v>9902825</v>
      </c>
    </row>
    <row r="83" spans="1:5" s="178" customFormat="1" ht="12" customHeight="1">
      <c r="A83" s="12" t="s">
        <v>252</v>
      </c>
      <c r="B83" s="180" t="s">
        <v>233</v>
      </c>
      <c r="C83" s="170"/>
      <c r="D83" s="170"/>
      <c r="E83" s="106"/>
    </row>
    <row r="84" spans="1:5" s="178" customFormat="1" ht="12" customHeight="1" thickBot="1">
      <c r="A84" s="14" t="s">
        <v>253</v>
      </c>
      <c r="B84" s="769" t="s">
        <v>900</v>
      </c>
      <c r="C84" s="170">
        <v>157271416</v>
      </c>
      <c r="D84" s="170">
        <v>166008794</v>
      </c>
      <c r="E84" s="106">
        <v>163421540</v>
      </c>
    </row>
    <row r="85" spans="1:5" s="178" customFormat="1" ht="12" customHeight="1" thickBot="1">
      <c r="A85" s="220" t="s">
        <v>234</v>
      </c>
      <c r="B85" s="109" t="s">
        <v>254</v>
      </c>
      <c r="C85" s="166">
        <f>SUM(C86:C89)</f>
        <v>0</v>
      </c>
      <c r="D85" s="166">
        <f>SUM(D86:D89)</f>
        <v>0</v>
      </c>
      <c r="E85" s="102">
        <f>SUM(E86:E89)</f>
        <v>0</v>
      </c>
    </row>
    <row r="86" spans="1:5" s="178" customFormat="1" ht="12" customHeight="1">
      <c r="A86" s="183" t="s">
        <v>235</v>
      </c>
      <c r="B86" s="179" t="s">
        <v>236</v>
      </c>
      <c r="C86" s="170"/>
      <c r="D86" s="170"/>
      <c r="E86" s="106"/>
    </row>
    <row r="87" spans="1:5" s="178" customFormat="1" ht="12" customHeight="1">
      <c r="A87" s="184" t="s">
        <v>237</v>
      </c>
      <c r="B87" s="180" t="s">
        <v>238</v>
      </c>
      <c r="C87" s="170"/>
      <c r="D87" s="170"/>
      <c r="E87" s="106"/>
    </row>
    <row r="88" spans="1:5" s="178" customFormat="1" ht="12" customHeight="1">
      <c r="A88" s="184" t="s">
        <v>239</v>
      </c>
      <c r="B88" s="180" t="s">
        <v>240</v>
      </c>
      <c r="C88" s="170"/>
      <c r="D88" s="170"/>
      <c r="E88" s="106"/>
    </row>
    <row r="89" spans="1:5" s="178" customFormat="1" ht="12" customHeight="1" thickBot="1">
      <c r="A89" s="185" t="s">
        <v>241</v>
      </c>
      <c r="B89" s="111" t="s">
        <v>242</v>
      </c>
      <c r="C89" s="170"/>
      <c r="D89" s="170"/>
      <c r="E89" s="106"/>
    </row>
    <row r="90" spans="1:5" s="178" customFormat="1" ht="12" customHeight="1" thickBot="1">
      <c r="A90" s="220" t="s">
        <v>243</v>
      </c>
      <c r="B90" s="109" t="s">
        <v>379</v>
      </c>
      <c r="C90" s="222"/>
      <c r="D90" s="222"/>
      <c r="E90" s="223"/>
    </row>
    <row r="91" spans="1:5" s="178" customFormat="1" ht="13.5" customHeight="1" thickBot="1">
      <c r="A91" s="220" t="s">
        <v>245</v>
      </c>
      <c r="B91" s="109" t="s">
        <v>244</v>
      </c>
      <c r="C91" s="222"/>
      <c r="D91" s="222"/>
      <c r="E91" s="223"/>
    </row>
    <row r="92" spans="1:5" s="178" customFormat="1" ht="15.75" customHeight="1" thickBot="1">
      <c r="A92" s="220" t="s">
        <v>257</v>
      </c>
      <c r="B92" s="186" t="s">
        <v>382</v>
      </c>
      <c r="C92" s="172">
        <f>+C69+C73+C78+C81+C85+C91+C90</f>
        <v>157271416</v>
      </c>
      <c r="D92" s="172">
        <f>+D69+D73+D78+D81+D85+D91+D90</f>
        <v>427862080</v>
      </c>
      <c r="E92" s="208">
        <f>+E69+E73+E78+E81+E85+E91+E90</f>
        <v>968084103</v>
      </c>
    </row>
    <row r="93" spans="1:5" s="178" customFormat="1" ht="25.5" customHeight="1" thickBot="1">
      <c r="A93" s="221" t="s">
        <v>381</v>
      </c>
      <c r="B93" s="187" t="s">
        <v>383</v>
      </c>
      <c r="C93" s="172">
        <f>+C68+C92</f>
        <v>693806762</v>
      </c>
      <c r="D93" s="172">
        <f>+D68+D92</f>
        <v>1045974070</v>
      </c>
      <c r="E93" s="208">
        <f>+E68+E92</f>
        <v>1638166967</v>
      </c>
    </row>
    <row r="94" spans="1:3" s="178" customFormat="1" ht="15" customHeight="1">
      <c r="A94" s="3"/>
      <c r="B94" s="4"/>
      <c r="C94" s="113"/>
    </row>
    <row r="95" spans="1:5" ht="16.5" customHeight="1">
      <c r="A95" s="810" t="s">
        <v>34</v>
      </c>
      <c r="B95" s="810"/>
      <c r="C95" s="810"/>
      <c r="D95" s="810"/>
      <c r="E95" s="810"/>
    </row>
    <row r="96" spans="1:5" s="188" customFormat="1" ht="16.5" customHeight="1" thickBot="1">
      <c r="A96" s="812" t="s">
        <v>103</v>
      </c>
      <c r="B96" s="812"/>
      <c r="C96" s="60"/>
      <c r="E96" s="60" t="str">
        <f>E7</f>
        <v> Forintban!</v>
      </c>
    </row>
    <row r="97" spans="1:5" ht="15.75">
      <c r="A97" s="801" t="s">
        <v>52</v>
      </c>
      <c r="B97" s="803" t="s">
        <v>423</v>
      </c>
      <c r="C97" s="805" t="str">
        <f>+CONCATENATE(LEFT(Z_ÖSSZEFÜGGÉSEK!A6,4),". évi")</f>
        <v>2018. évi</v>
      </c>
      <c r="D97" s="806"/>
      <c r="E97" s="807"/>
    </row>
    <row r="98" spans="1:5" ht="24.75" thickBot="1">
      <c r="A98" s="802"/>
      <c r="B98" s="804"/>
      <c r="C98" s="250" t="s">
        <v>421</v>
      </c>
      <c r="D98" s="249" t="s">
        <v>422</v>
      </c>
      <c r="E98" s="369" t="str">
        <f>CONCATENATE(E9)</f>
        <v>2018. XII. 31.
teljesítés</v>
      </c>
    </row>
    <row r="99" spans="1:5" s="177" customFormat="1" ht="12" customHeight="1" thickBot="1">
      <c r="A99" s="25" t="s">
        <v>388</v>
      </c>
      <c r="B99" s="26" t="s">
        <v>389</v>
      </c>
      <c r="C99" s="26" t="s">
        <v>390</v>
      </c>
      <c r="D99" s="26" t="s">
        <v>392</v>
      </c>
      <c r="E99" s="261" t="s">
        <v>391</v>
      </c>
    </row>
    <row r="100" spans="1:5" ht="12" customHeight="1" thickBot="1">
      <c r="A100" s="20" t="s">
        <v>6</v>
      </c>
      <c r="B100" s="24" t="s">
        <v>341</v>
      </c>
      <c r="C100" s="165">
        <f>C101+C102+C103+C104+C105+C118</f>
        <v>510200058</v>
      </c>
      <c r="D100" s="165">
        <f>D101+D102+D103+D104+D105+D118</f>
        <v>655690373</v>
      </c>
      <c r="E100" s="236">
        <f>E101+E102+E103+E104+E105+E118</f>
        <v>574568357</v>
      </c>
    </row>
    <row r="101" spans="1:5" ht="12" customHeight="1">
      <c r="A101" s="15" t="s">
        <v>64</v>
      </c>
      <c r="B101" s="8" t="s">
        <v>35</v>
      </c>
      <c r="C101" s="243">
        <v>251197093</v>
      </c>
      <c r="D101" s="243">
        <v>279668543</v>
      </c>
      <c r="E101" s="237">
        <v>276268852</v>
      </c>
    </row>
    <row r="102" spans="1:5" ht="12" customHeight="1">
      <c r="A102" s="12" t="s">
        <v>65</v>
      </c>
      <c r="B102" s="6" t="s">
        <v>124</v>
      </c>
      <c r="C102" s="167">
        <v>39563486</v>
      </c>
      <c r="D102" s="167">
        <v>53369340</v>
      </c>
      <c r="E102" s="103">
        <v>45547802</v>
      </c>
    </row>
    <row r="103" spans="1:5" ht="12" customHeight="1">
      <c r="A103" s="12" t="s">
        <v>66</v>
      </c>
      <c r="B103" s="6" t="s">
        <v>92</v>
      </c>
      <c r="C103" s="169">
        <v>167393915</v>
      </c>
      <c r="D103" s="169">
        <v>255004533</v>
      </c>
      <c r="E103" s="105">
        <v>199906355</v>
      </c>
    </row>
    <row r="104" spans="1:5" ht="12" customHeight="1">
      <c r="A104" s="12" t="s">
        <v>67</v>
      </c>
      <c r="B104" s="9" t="s">
        <v>125</v>
      </c>
      <c r="C104" s="169">
        <v>31641000</v>
      </c>
      <c r="D104" s="169">
        <v>45650312</v>
      </c>
      <c r="E104" s="105">
        <v>32220008</v>
      </c>
    </row>
    <row r="105" spans="1:5" ht="12" customHeight="1">
      <c r="A105" s="12" t="s">
        <v>76</v>
      </c>
      <c r="B105" s="17" t="s">
        <v>126</v>
      </c>
      <c r="C105" s="169">
        <f>SUM(C106:C117)</f>
        <v>20404564</v>
      </c>
      <c r="D105" s="169">
        <f>SUM(D106:D117)</f>
        <v>21997645</v>
      </c>
      <c r="E105" s="169">
        <f>SUM(E106:E117)</f>
        <v>20625340</v>
      </c>
    </row>
    <row r="106" spans="1:5" ht="12" customHeight="1">
      <c r="A106" s="12" t="s">
        <v>68</v>
      </c>
      <c r="B106" s="6" t="s">
        <v>346</v>
      </c>
      <c r="C106" s="169"/>
      <c r="D106" s="169">
        <v>933081</v>
      </c>
      <c r="E106" s="105">
        <v>933081</v>
      </c>
    </row>
    <row r="107" spans="1:5" ht="12" customHeight="1">
      <c r="A107" s="12" t="s">
        <v>69</v>
      </c>
      <c r="B107" s="64" t="s">
        <v>345</v>
      </c>
      <c r="C107" s="169"/>
      <c r="D107" s="169"/>
      <c r="E107" s="105"/>
    </row>
    <row r="108" spans="1:5" ht="12" customHeight="1">
      <c r="A108" s="12" t="s">
        <v>77</v>
      </c>
      <c r="B108" s="64" t="s">
        <v>344</v>
      </c>
      <c r="C108" s="169"/>
      <c r="D108" s="169"/>
      <c r="E108" s="105"/>
    </row>
    <row r="109" spans="1:5" ht="12" customHeight="1">
      <c r="A109" s="12" t="s">
        <v>78</v>
      </c>
      <c r="B109" s="62" t="s">
        <v>260</v>
      </c>
      <c r="C109" s="169"/>
      <c r="D109" s="169"/>
      <c r="E109" s="105"/>
    </row>
    <row r="110" spans="1:5" ht="12" customHeight="1">
      <c r="A110" s="12" t="s">
        <v>79</v>
      </c>
      <c r="B110" s="63" t="s">
        <v>261</v>
      </c>
      <c r="C110" s="169"/>
      <c r="D110" s="169"/>
      <c r="E110" s="105"/>
    </row>
    <row r="111" spans="1:5" ht="12" customHeight="1">
      <c r="A111" s="12" t="s">
        <v>80</v>
      </c>
      <c r="B111" s="63" t="s">
        <v>262</v>
      </c>
      <c r="C111" s="169"/>
      <c r="D111" s="169"/>
      <c r="E111" s="105"/>
    </row>
    <row r="112" spans="1:5" ht="12" customHeight="1">
      <c r="A112" s="12" t="s">
        <v>82</v>
      </c>
      <c r="B112" s="62" t="s">
        <v>263</v>
      </c>
      <c r="C112" s="169">
        <v>19404564</v>
      </c>
      <c r="D112" s="169">
        <v>1162305</v>
      </c>
      <c r="E112" s="105"/>
    </row>
    <row r="113" spans="1:5" ht="12" customHeight="1">
      <c r="A113" s="12" t="s">
        <v>127</v>
      </c>
      <c r="B113" s="62" t="s">
        <v>264</v>
      </c>
      <c r="C113" s="169"/>
      <c r="D113" s="169"/>
      <c r="E113" s="105"/>
    </row>
    <row r="114" spans="1:5" ht="12" customHeight="1">
      <c r="A114" s="12" t="s">
        <v>258</v>
      </c>
      <c r="B114" s="63" t="s">
        <v>265</v>
      </c>
      <c r="C114" s="169"/>
      <c r="D114" s="169">
        <v>5040000</v>
      </c>
      <c r="E114" s="105">
        <v>4830000</v>
      </c>
    </row>
    <row r="115" spans="1:5" ht="12" customHeight="1">
      <c r="A115" s="11" t="s">
        <v>259</v>
      </c>
      <c r="B115" s="64" t="s">
        <v>266</v>
      </c>
      <c r="C115" s="169"/>
      <c r="D115" s="169"/>
      <c r="E115" s="105"/>
    </row>
    <row r="116" spans="1:5" ht="12" customHeight="1">
      <c r="A116" s="12" t="s">
        <v>342</v>
      </c>
      <c r="B116" s="64" t="s">
        <v>267</v>
      </c>
      <c r="C116" s="169"/>
      <c r="D116" s="169"/>
      <c r="E116" s="105"/>
    </row>
    <row r="117" spans="1:5" ht="12" customHeight="1">
      <c r="A117" s="14" t="s">
        <v>343</v>
      </c>
      <c r="B117" s="64" t="s">
        <v>268</v>
      </c>
      <c r="C117" s="169">
        <v>1000000</v>
      </c>
      <c r="D117" s="169">
        <v>14862259</v>
      </c>
      <c r="E117" s="105">
        <v>14862259</v>
      </c>
    </row>
    <row r="118" spans="1:5" ht="12" customHeight="1">
      <c r="A118" s="12" t="s">
        <v>347</v>
      </c>
      <c r="B118" s="9" t="s">
        <v>36</v>
      </c>
      <c r="C118" s="167"/>
      <c r="D118" s="167"/>
      <c r="E118" s="103"/>
    </row>
    <row r="119" spans="1:5" ht="12" customHeight="1">
      <c r="A119" s="12" t="s">
        <v>348</v>
      </c>
      <c r="B119" s="6" t="s">
        <v>350</v>
      </c>
      <c r="C119" s="167"/>
      <c r="D119" s="167"/>
      <c r="E119" s="103"/>
    </row>
    <row r="120" spans="1:5" ht="12" customHeight="1" thickBot="1">
      <c r="A120" s="16" t="s">
        <v>349</v>
      </c>
      <c r="B120" s="232" t="s">
        <v>351</v>
      </c>
      <c r="C120" s="244"/>
      <c r="D120" s="244"/>
      <c r="E120" s="238"/>
    </row>
    <row r="121" spans="1:5" ht="12" customHeight="1" thickBot="1">
      <c r="A121" s="230" t="s">
        <v>7</v>
      </c>
      <c r="B121" s="231" t="s">
        <v>269</v>
      </c>
      <c r="C121" s="245">
        <f>+C122+C124+C126</f>
        <v>26335288</v>
      </c>
      <c r="D121" s="166">
        <f>+D122+D124+D126</f>
        <v>186668446</v>
      </c>
      <c r="E121" s="239">
        <f>+E122+E124+E126</f>
        <v>176300688</v>
      </c>
    </row>
    <row r="122" spans="1:5" ht="12" customHeight="1">
      <c r="A122" s="13" t="s">
        <v>70</v>
      </c>
      <c r="B122" s="6" t="s">
        <v>145</v>
      </c>
      <c r="C122" s="168">
        <v>21819354</v>
      </c>
      <c r="D122" s="254">
        <v>57892988</v>
      </c>
      <c r="E122" s="104">
        <v>54091064</v>
      </c>
    </row>
    <row r="123" spans="1:5" ht="12" customHeight="1">
      <c r="A123" s="13" t="s">
        <v>71</v>
      </c>
      <c r="B123" s="10" t="s">
        <v>273</v>
      </c>
      <c r="C123" s="168"/>
      <c r="D123" s="254"/>
      <c r="E123" s="104">
        <v>32745947</v>
      </c>
    </row>
    <row r="124" spans="1:5" ht="12" customHeight="1">
      <c r="A124" s="13" t="s">
        <v>72</v>
      </c>
      <c r="B124" s="10" t="s">
        <v>128</v>
      </c>
      <c r="C124" s="167">
        <v>1681000</v>
      </c>
      <c r="D124" s="255">
        <v>125940524</v>
      </c>
      <c r="E124" s="103">
        <v>122209624</v>
      </c>
    </row>
    <row r="125" spans="1:5" ht="12" customHeight="1">
      <c r="A125" s="13" t="s">
        <v>73</v>
      </c>
      <c r="B125" s="10" t="s">
        <v>274</v>
      </c>
      <c r="C125" s="167"/>
      <c r="D125" s="255"/>
      <c r="E125" s="103">
        <v>109270800</v>
      </c>
    </row>
    <row r="126" spans="1:5" ht="12" customHeight="1">
      <c r="A126" s="13" t="s">
        <v>74</v>
      </c>
      <c r="B126" s="111" t="s">
        <v>147</v>
      </c>
      <c r="C126" s="167">
        <v>2834934</v>
      </c>
      <c r="D126" s="255">
        <v>2834934</v>
      </c>
      <c r="E126" s="103"/>
    </row>
    <row r="127" spans="1:5" ht="12" customHeight="1">
      <c r="A127" s="13" t="s">
        <v>81</v>
      </c>
      <c r="B127" s="110" t="s">
        <v>334</v>
      </c>
      <c r="C127" s="167"/>
      <c r="D127" s="255"/>
      <c r="E127" s="103"/>
    </row>
    <row r="128" spans="1:5" ht="12" customHeight="1">
      <c r="A128" s="13" t="s">
        <v>83</v>
      </c>
      <c r="B128" s="175" t="s">
        <v>279</v>
      </c>
      <c r="C128" s="167"/>
      <c r="D128" s="255"/>
      <c r="E128" s="103"/>
    </row>
    <row r="129" spans="1:5" ht="15.75">
      <c r="A129" s="13" t="s">
        <v>129</v>
      </c>
      <c r="B129" s="63" t="s">
        <v>262</v>
      </c>
      <c r="C129" s="167"/>
      <c r="D129" s="255"/>
      <c r="E129" s="103"/>
    </row>
    <row r="130" spans="1:5" ht="12" customHeight="1">
      <c r="A130" s="13" t="s">
        <v>130</v>
      </c>
      <c r="B130" s="63" t="s">
        <v>278</v>
      </c>
      <c r="C130" s="167"/>
      <c r="D130" s="255"/>
      <c r="E130" s="103"/>
    </row>
    <row r="131" spans="1:5" ht="12" customHeight="1">
      <c r="A131" s="13" t="s">
        <v>131</v>
      </c>
      <c r="B131" s="63" t="s">
        <v>277</v>
      </c>
      <c r="C131" s="167"/>
      <c r="D131" s="255"/>
      <c r="E131" s="103"/>
    </row>
    <row r="132" spans="1:5" ht="12" customHeight="1">
      <c r="A132" s="13" t="s">
        <v>270</v>
      </c>
      <c r="B132" s="63" t="s">
        <v>265</v>
      </c>
      <c r="C132" s="167"/>
      <c r="D132" s="255"/>
      <c r="E132" s="103"/>
    </row>
    <row r="133" spans="1:5" ht="12" customHeight="1">
      <c r="A133" s="13" t="s">
        <v>271</v>
      </c>
      <c r="B133" s="63" t="s">
        <v>276</v>
      </c>
      <c r="C133" s="167"/>
      <c r="D133" s="255"/>
      <c r="E133" s="103"/>
    </row>
    <row r="134" spans="1:5" ht="16.5" thickBot="1">
      <c r="A134" s="11" t="s">
        <v>272</v>
      </c>
      <c r="B134" s="63" t="s">
        <v>275</v>
      </c>
      <c r="C134" s="169"/>
      <c r="D134" s="256"/>
      <c r="E134" s="105"/>
    </row>
    <row r="135" spans="1:5" ht="12" customHeight="1" thickBot="1">
      <c r="A135" s="18" t="s">
        <v>8</v>
      </c>
      <c r="B135" s="56" t="s">
        <v>352</v>
      </c>
      <c r="C135" s="166">
        <f>+C100+C121</f>
        <v>536535346</v>
      </c>
      <c r="D135" s="253">
        <f>+D100+D121</f>
        <v>842358819</v>
      </c>
      <c r="E135" s="102">
        <f>+E100+E121</f>
        <v>750869045</v>
      </c>
    </row>
    <row r="136" spans="1:5" ht="12" customHeight="1" thickBot="1">
      <c r="A136" s="18" t="s">
        <v>9</v>
      </c>
      <c r="B136" s="56" t="s">
        <v>424</v>
      </c>
      <c r="C136" s="166">
        <f>+C137+C138+C139</f>
        <v>0</v>
      </c>
      <c r="D136" s="253">
        <f>+D137+D138+D139</f>
        <v>0</v>
      </c>
      <c r="E136" s="102">
        <f>+E137+E138+E139</f>
        <v>0</v>
      </c>
    </row>
    <row r="137" spans="1:5" ht="12" customHeight="1">
      <c r="A137" s="13" t="s">
        <v>177</v>
      </c>
      <c r="B137" s="10" t="s">
        <v>360</v>
      </c>
      <c r="C137" s="167"/>
      <c r="D137" s="255"/>
      <c r="E137" s="103"/>
    </row>
    <row r="138" spans="1:5" ht="12" customHeight="1">
      <c r="A138" s="13" t="s">
        <v>178</v>
      </c>
      <c r="B138" s="10" t="s">
        <v>361</v>
      </c>
      <c r="C138" s="167"/>
      <c r="D138" s="255"/>
      <c r="E138" s="103"/>
    </row>
    <row r="139" spans="1:5" ht="12" customHeight="1" thickBot="1">
      <c r="A139" s="11" t="s">
        <v>179</v>
      </c>
      <c r="B139" s="10" t="s">
        <v>362</v>
      </c>
      <c r="C139" s="167"/>
      <c r="D139" s="255"/>
      <c r="E139" s="103"/>
    </row>
    <row r="140" spans="1:5" ht="12" customHeight="1" thickBot="1">
      <c r="A140" s="18" t="s">
        <v>10</v>
      </c>
      <c r="B140" s="56" t="s">
        <v>354</v>
      </c>
      <c r="C140" s="166">
        <f>SUM(C141:C146)</f>
        <v>0</v>
      </c>
      <c r="D140" s="253">
        <f>SUM(D141:D146)</f>
        <v>0</v>
      </c>
      <c r="E140" s="102">
        <f>SUM(E141:E146)</f>
        <v>0</v>
      </c>
    </row>
    <row r="141" spans="1:5" ht="12" customHeight="1">
      <c r="A141" s="13" t="s">
        <v>57</v>
      </c>
      <c r="B141" s="7" t="s">
        <v>363</v>
      </c>
      <c r="C141" s="167"/>
      <c r="D141" s="255"/>
      <c r="E141" s="103"/>
    </row>
    <row r="142" spans="1:5" ht="12" customHeight="1">
      <c r="A142" s="13" t="s">
        <v>58</v>
      </c>
      <c r="B142" s="7" t="s">
        <v>355</v>
      </c>
      <c r="C142" s="167"/>
      <c r="D142" s="255"/>
      <c r="E142" s="103"/>
    </row>
    <row r="143" spans="1:5" ht="12" customHeight="1">
      <c r="A143" s="13" t="s">
        <v>59</v>
      </c>
      <c r="B143" s="7" t="s">
        <v>356</v>
      </c>
      <c r="C143" s="167"/>
      <c r="D143" s="255"/>
      <c r="E143" s="103"/>
    </row>
    <row r="144" spans="1:5" ht="12" customHeight="1">
      <c r="A144" s="13" t="s">
        <v>116</v>
      </c>
      <c r="B144" s="7" t="s">
        <v>357</v>
      </c>
      <c r="C144" s="167"/>
      <c r="D144" s="255"/>
      <c r="E144" s="103"/>
    </row>
    <row r="145" spans="1:5" ht="12" customHeight="1">
      <c r="A145" s="13" t="s">
        <v>117</v>
      </c>
      <c r="B145" s="7" t="s">
        <v>358</v>
      </c>
      <c r="C145" s="167"/>
      <c r="D145" s="255"/>
      <c r="E145" s="103"/>
    </row>
    <row r="146" spans="1:5" ht="12" customHeight="1" thickBot="1">
      <c r="A146" s="16" t="s">
        <v>118</v>
      </c>
      <c r="B146" s="379" t="s">
        <v>359</v>
      </c>
      <c r="C146" s="244"/>
      <c r="D146" s="320"/>
      <c r="E146" s="238"/>
    </row>
    <row r="147" spans="1:5" ht="12" customHeight="1" thickBot="1">
      <c r="A147" s="18" t="s">
        <v>11</v>
      </c>
      <c r="B147" s="56" t="s">
        <v>367</v>
      </c>
      <c r="C147" s="172">
        <f>+C148+C149+C150+C151</f>
        <v>157271416</v>
      </c>
      <c r="D147" s="257">
        <f>+D148+D149+D150+D151</f>
        <v>203615251</v>
      </c>
      <c r="E147" s="208">
        <f>+E148+E149+E150+E151</f>
        <v>501027997</v>
      </c>
    </row>
    <row r="148" spans="1:5" ht="12" customHeight="1">
      <c r="A148" s="13" t="s">
        <v>60</v>
      </c>
      <c r="B148" s="7" t="s">
        <v>280</v>
      </c>
      <c r="C148" s="167"/>
      <c r="D148" s="255"/>
      <c r="E148" s="103"/>
    </row>
    <row r="149" spans="1:5" ht="12" customHeight="1">
      <c r="A149" s="13" t="s">
        <v>61</v>
      </c>
      <c r="B149" s="7" t="s">
        <v>281</v>
      </c>
      <c r="C149" s="167"/>
      <c r="D149" s="255">
        <v>37606457</v>
      </c>
      <c r="E149" s="103">
        <v>37606457</v>
      </c>
    </row>
    <row r="150" spans="1:5" ht="12" customHeight="1">
      <c r="A150" s="13" t="s">
        <v>197</v>
      </c>
      <c r="B150" s="7" t="s">
        <v>368</v>
      </c>
      <c r="C150" s="167"/>
      <c r="D150" s="255"/>
      <c r="E150" s="103">
        <v>300000000</v>
      </c>
    </row>
    <row r="151" spans="1:5" ht="12" customHeight="1" thickBot="1">
      <c r="A151" s="11" t="s">
        <v>198</v>
      </c>
      <c r="B151" s="5" t="s">
        <v>901</v>
      </c>
      <c r="C151" s="167">
        <v>157271416</v>
      </c>
      <c r="D151" s="255">
        <v>166008794</v>
      </c>
      <c r="E151" s="103">
        <v>163421540</v>
      </c>
    </row>
    <row r="152" spans="1:5" ht="12" customHeight="1" thickBot="1">
      <c r="A152" s="18" t="s">
        <v>12</v>
      </c>
      <c r="B152" s="56" t="s">
        <v>369</v>
      </c>
      <c r="C152" s="246">
        <f>SUM(C153:C157)</f>
        <v>0</v>
      </c>
      <c r="D152" s="258">
        <f>SUM(D153:D157)</f>
        <v>0</v>
      </c>
      <c r="E152" s="240">
        <f>SUM(E153:E157)</f>
        <v>0</v>
      </c>
    </row>
    <row r="153" spans="1:5" ht="12" customHeight="1">
      <c r="A153" s="13" t="s">
        <v>62</v>
      </c>
      <c r="B153" s="7" t="s">
        <v>364</v>
      </c>
      <c r="C153" s="167"/>
      <c r="D153" s="255"/>
      <c r="E153" s="103"/>
    </row>
    <row r="154" spans="1:5" ht="12" customHeight="1">
      <c r="A154" s="13" t="s">
        <v>63</v>
      </c>
      <c r="B154" s="7" t="s">
        <v>371</v>
      </c>
      <c r="C154" s="167"/>
      <c r="D154" s="255"/>
      <c r="E154" s="103"/>
    </row>
    <row r="155" spans="1:5" ht="12" customHeight="1">
      <c r="A155" s="13" t="s">
        <v>209</v>
      </c>
      <c r="B155" s="7" t="s">
        <v>366</v>
      </c>
      <c r="C155" s="167"/>
      <c r="D155" s="255"/>
      <c r="E155" s="103"/>
    </row>
    <row r="156" spans="1:5" ht="12" customHeight="1">
      <c r="A156" s="13" t="s">
        <v>210</v>
      </c>
      <c r="B156" s="7" t="s">
        <v>372</v>
      </c>
      <c r="C156" s="167"/>
      <c r="D156" s="255"/>
      <c r="E156" s="103"/>
    </row>
    <row r="157" spans="1:5" ht="12" customHeight="1" thickBot="1">
      <c r="A157" s="13" t="s">
        <v>370</v>
      </c>
      <c r="B157" s="7" t="s">
        <v>373</v>
      </c>
      <c r="C157" s="167"/>
      <c r="D157" s="255"/>
      <c r="E157" s="103"/>
    </row>
    <row r="158" spans="1:5" ht="12" customHeight="1" thickBot="1">
      <c r="A158" s="18" t="s">
        <v>13</v>
      </c>
      <c r="B158" s="56" t="s">
        <v>374</v>
      </c>
      <c r="C158" s="247"/>
      <c r="D158" s="259"/>
      <c r="E158" s="241"/>
    </row>
    <row r="159" spans="1:5" ht="12" customHeight="1" thickBot="1">
      <c r="A159" s="18" t="s">
        <v>14</v>
      </c>
      <c r="B159" s="56" t="s">
        <v>375</v>
      </c>
      <c r="C159" s="247"/>
      <c r="D159" s="259"/>
      <c r="E159" s="241"/>
    </row>
    <row r="160" spans="1:9" ht="15" customHeight="1" thickBot="1">
      <c r="A160" s="18" t="s">
        <v>15</v>
      </c>
      <c r="B160" s="56" t="s">
        <v>377</v>
      </c>
      <c r="C160" s="248">
        <f>+C136+C140+C147+C152+C158+C159</f>
        <v>157271416</v>
      </c>
      <c r="D160" s="260">
        <f>+D136+D140+D147+D152+D158+D159</f>
        <v>203615251</v>
      </c>
      <c r="E160" s="242">
        <f>+E136+E140+E147+E152+E158+E159</f>
        <v>501027997</v>
      </c>
      <c r="F160" s="189"/>
      <c r="G160" s="190"/>
      <c r="H160" s="190"/>
      <c r="I160" s="190"/>
    </row>
    <row r="161" spans="1:5" s="178" customFormat="1" ht="12.75" customHeight="1" thickBot="1">
      <c r="A161" s="112" t="s">
        <v>16</v>
      </c>
      <c r="B161" s="153" t="s">
        <v>376</v>
      </c>
      <c r="C161" s="248">
        <f>+C135+C160</f>
        <v>693806762</v>
      </c>
      <c r="D161" s="260">
        <f>+D135+D160</f>
        <v>1045974070</v>
      </c>
      <c r="E161" s="242">
        <f>+E135+E160</f>
        <v>1251897042</v>
      </c>
    </row>
    <row r="162" spans="3:4" ht="15.75">
      <c r="C162" s="726">
        <f>C93-C161</f>
        <v>0</v>
      </c>
      <c r="D162" s="726">
        <f>D93-D161</f>
        <v>0</v>
      </c>
    </row>
    <row r="163" spans="1:5" ht="15.75">
      <c r="A163" s="808" t="s">
        <v>282</v>
      </c>
      <c r="B163" s="808"/>
      <c r="C163" s="808"/>
      <c r="D163" s="808"/>
      <c r="E163" s="808"/>
    </row>
    <row r="164" spans="1:5" ht="15" customHeight="1" thickBot="1">
      <c r="A164" s="800" t="s">
        <v>104</v>
      </c>
      <c r="B164" s="800"/>
      <c r="C164" s="114"/>
      <c r="E164" s="114" t="str">
        <f>E96</f>
        <v> Forintban!</v>
      </c>
    </row>
    <row r="165" spans="1:5" ht="25.5" customHeight="1" thickBot="1">
      <c r="A165" s="18">
        <v>1</v>
      </c>
      <c r="B165" s="23" t="s">
        <v>378</v>
      </c>
      <c r="C165" s="252">
        <f>+C68-C135</f>
        <v>0</v>
      </c>
      <c r="D165" s="166">
        <f>+D68-D135</f>
        <v>-224246829</v>
      </c>
      <c r="E165" s="102">
        <f>+E68-E135</f>
        <v>-80786181</v>
      </c>
    </row>
    <row r="166" spans="1:5" ht="32.25" customHeight="1" thickBot="1">
      <c r="A166" s="18" t="s">
        <v>7</v>
      </c>
      <c r="B166" s="23" t="s">
        <v>384</v>
      </c>
      <c r="C166" s="166">
        <f>+C92-C160</f>
        <v>0</v>
      </c>
      <c r="D166" s="166">
        <f>+D92-D160</f>
        <v>224246829</v>
      </c>
      <c r="E166" s="102">
        <f>+E92-E160</f>
        <v>467056106</v>
      </c>
    </row>
  </sheetData>
  <sheetProtection/>
  <mergeCells count="16">
    <mergeCell ref="C97:E97"/>
    <mergeCell ref="A163:E163"/>
    <mergeCell ref="A6:E6"/>
    <mergeCell ref="A95:E95"/>
    <mergeCell ref="A7:B7"/>
    <mergeCell ref="A96:B96"/>
    <mergeCell ref="B1:E1"/>
    <mergeCell ref="A2:E2"/>
    <mergeCell ref="A3:E3"/>
    <mergeCell ref="A4:E4"/>
    <mergeCell ref="A164:B164"/>
    <mergeCell ref="A8:A9"/>
    <mergeCell ref="B8:B9"/>
    <mergeCell ref="C8:E8"/>
    <mergeCell ref="A97:A98"/>
    <mergeCell ref="B97:B98"/>
  </mergeCells>
  <printOptions horizontalCentered="1"/>
  <pageMargins left="0.6692913385826772" right="0.6692913385826772" top="0.8661417322834646" bottom="0.8661417322834646" header="0" footer="0"/>
  <pageSetup fitToHeight="2" orientation="portrait" paperSize="9" scale="72" r:id="rId1"/>
  <rowBreaks count="2" manualBreakCount="2">
    <brk id="68" max="4" man="1"/>
    <brk id="14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6"/>
  <sheetViews>
    <sheetView tabSelected="1" zoomScale="120" zoomScaleNormal="120" zoomScaleSheetLayoutView="100" workbookViewId="0" topLeftCell="A1">
      <selection activeCell="E40" sqref="E40"/>
    </sheetView>
  </sheetViews>
  <sheetFormatPr defaultColWidth="9.00390625" defaultRowHeight="12.75"/>
  <cols>
    <col min="1" max="1" width="9.50390625" style="154" customWidth="1"/>
    <col min="2" max="2" width="65.875" style="154" customWidth="1"/>
    <col min="3" max="3" width="17.875" style="155" customWidth="1"/>
    <col min="4" max="5" width="17.875" style="176" customWidth="1"/>
    <col min="6" max="16384" width="9.375" style="176" customWidth="1"/>
  </cols>
  <sheetData>
    <row r="1" spans="1:5" ht="15.75">
      <c r="A1" s="380"/>
      <c r="B1" s="795" t="str">
        <f>CONCATENATE("1.2. melléklet ",Z_ALAPADATOK!A7," ",Z_ALAPADATOK!B7," ",Z_ALAPADATOK!C7," ",Z_ALAPADATOK!D7," ",Z_ALAPADATOK!E7," ",Z_ALAPADATOK!F7," ",Z_ALAPADATOK!G7," ",Z_ALAPADATOK!H7)</f>
        <v>1.2. melléklet a 2 / 2019. ( IV.26. ) önkormányzati rendelethez</v>
      </c>
      <c r="C1" s="796"/>
      <c r="D1" s="796"/>
      <c r="E1" s="796"/>
    </row>
    <row r="2" spans="1:5" ht="15.75">
      <c r="A2" s="797" t="str">
        <f>CONCATENATE(Z_ALAPADATOK!A3)</f>
        <v>Kállósemjén Nagyközség Önkormányzata</v>
      </c>
      <c r="B2" s="798"/>
      <c r="C2" s="798"/>
      <c r="D2" s="798"/>
      <c r="E2" s="798"/>
    </row>
    <row r="3" spans="1:5" ht="15.75">
      <c r="A3" s="797" t="s">
        <v>878</v>
      </c>
      <c r="B3" s="797"/>
      <c r="C3" s="799"/>
      <c r="D3" s="797"/>
      <c r="E3" s="797"/>
    </row>
    <row r="4" spans="1:5" ht="17.25" customHeight="1">
      <c r="A4" s="797" t="s">
        <v>879</v>
      </c>
      <c r="B4" s="797"/>
      <c r="C4" s="799"/>
      <c r="D4" s="797"/>
      <c r="E4" s="797"/>
    </row>
    <row r="5" spans="1:5" ht="15.75">
      <c r="A5" s="380"/>
      <c r="B5" s="380"/>
      <c r="C5" s="381"/>
      <c r="D5" s="382"/>
      <c r="E5" s="382"/>
    </row>
    <row r="6" spans="1:5" ht="15.75" customHeight="1">
      <c r="A6" s="809" t="s">
        <v>3</v>
      </c>
      <c r="B6" s="809"/>
      <c r="C6" s="809"/>
      <c r="D6" s="809"/>
      <c r="E6" s="809"/>
    </row>
    <row r="7" spans="1:5" ht="15.75" customHeight="1" thickBot="1">
      <c r="A7" s="811" t="s">
        <v>102</v>
      </c>
      <c r="B7" s="811"/>
      <c r="C7" s="383"/>
      <c r="D7" s="382"/>
      <c r="E7" s="383" t="str">
        <f>CONCATENATE('Z_1.1.sz.mell.'!E7)</f>
        <v> Forintban!</v>
      </c>
    </row>
    <row r="8" spans="1:5" ht="15.75">
      <c r="A8" s="801" t="s">
        <v>52</v>
      </c>
      <c r="B8" s="803" t="s">
        <v>5</v>
      </c>
      <c r="C8" s="805" t="str">
        <f>+CONCATENATE(LEFT(Z_ÖSSZEFÜGGÉSEK!A6,4),". évi")</f>
        <v>2018. évi</v>
      </c>
      <c r="D8" s="806"/>
      <c r="E8" s="807"/>
    </row>
    <row r="9" spans="1:5" ht="24.75" thickBot="1">
      <c r="A9" s="802"/>
      <c r="B9" s="804"/>
      <c r="C9" s="250" t="s">
        <v>421</v>
      </c>
      <c r="D9" s="249" t="s">
        <v>422</v>
      </c>
      <c r="E9" s="369" t="str">
        <f>CONCATENATE('Z_1.1.sz.mell.'!E9)</f>
        <v>2018. XII. 31.
teljesítés</v>
      </c>
    </row>
    <row r="10" spans="1:5" s="177" customFormat="1" ht="12" customHeight="1" thickBot="1">
      <c r="A10" s="173" t="s">
        <v>388</v>
      </c>
      <c r="B10" s="174" t="s">
        <v>389</v>
      </c>
      <c r="C10" s="174" t="s">
        <v>390</v>
      </c>
      <c r="D10" s="174" t="s">
        <v>392</v>
      </c>
      <c r="E10" s="251" t="s">
        <v>391</v>
      </c>
    </row>
    <row r="11" spans="1:5" s="178" customFormat="1" ht="12" customHeight="1" thickBot="1">
      <c r="A11" s="18" t="s">
        <v>6</v>
      </c>
      <c r="B11" s="19" t="s">
        <v>162</v>
      </c>
      <c r="C11" s="166">
        <f>+C12+C13+C14+C15+C16+C17</f>
        <v>282510000</v>
      </c>
      <c r="D11" s="166">
        <f>+D12+D13+D14+D15+D16+D17</f>
        <v>293703971</v>
      </c>
      <c r="E11" s="102">
        <f>+E12+E13+E14+E15+E16+E17</f>
        <v>271893151</v>
      </c>
    </row>
    <row r="12" spans="1:5" s="178" customFormat="1" ht="12" customHeight="1">
      <c r="A12" s="13" t="s">
        <v>64</v>
      </c>
      <c r="B12" s="179" t="s">
        <v>163</v>
      </c>
      <c r="C12" s="168">
        <v>128228568</v>
      </c>
      <c r="D12" s="168">
        <v>128228568</v>
      </c>
      <c r="E12" s="104">
        <v>128354838</v>
      </c>
    </row>
    <row r="13" spans="1:5" s="178" customFormat="1" ht="12" customHeight="1">
      <c r="A13" s="12" t="s">
        <v>65</v>
      </c>
      <c r="B13" s="180" t="s">
        <v>164</v>
      </c>
      <c r="C13" s="167">
        <v>62145100</v>
      </c>
      <c r="D13" s="167">
        <v>62145100</v>
      </c>
      <c r="E13" s="103">
        <v>61997800</v>
      </c>
    </row>
    <row r="14" spans="1:5" s="178" customFormat="1" ht="12" customHeight="1">
      <c r="A14" s="12" t="s">
        <v>66</v>
      </c>
      <c r="B14" s="180" t="s">
        <v>165</v>
      </c>
      <c r="C14" s="167">
        <v>64367285</v>
      </c>
      <c r="D14" s="167">
        <v>64922059</v>
      </c>
      <c r="E14" s="103">
        <v>64922059</v>
      </c>
    </row>
    <row r="15" spans="1:5" s="178" customFormat="1" ht="12" customHeight="1">
      <c r="A15" s="12" t="s">
        <v>67</v>
      </c>
      <c r="B15" s="180" t="s">
        <v>166</v>
      </c>
      <c r="C15" s="167">
        <v>4541130</v>
      </c>
      <c r="D15" s="167">
        <v>5588560</v>
      </c>
      <c r="E15" s="103">
        <v>6036701</v>
      </c>
    </row>
    <row r="16" spans="1:5" s="178" customFormat="1" ht="12" customHeight="1">
      <c r="A16" s="12" t="s">
        <v>99</v>
      </c>
      <c r="B16" s="110" t="s">
        <v>336</v>
      </c>
      <c r="C16" s="167">
        <v>23227917</v>
      </c>
      <c r="D16" s="167">
        <v>32819684</v>
      </c>
      <c r="E16" s="103">
        <v>10581753</v>
      </c>
    </row>
    <row r="17" spans="1:5" s="178" customFormat="1" ht="12" customHeight="1" thickBot="1">
      <c r="A17" s="14" t="s">
        <v>68</v>
      </c>
      <c r="B17" s="111" t="s">
        <v>337</v>
      </c>
      <c r="C17" s="167"/>
      <c r="D17" s="167"/>
      <c r="E17" s="103"/>
    </row>
    <row r="18" spans="1:5" s="178" customFormat="1" ht="12" customHeight="1" thickBot="1">
      <c r="A18" s="18" t="s">
        <v>7</v>
      </c>
      <c r="B18" s="109" t="s">
        <v>167</v>
      </c>
      <c r="C18" s="166">
        <f>+C19+C20+C21+C22+C23</f>
        <v>130598640</v>
      </c>
      <c r="D18" s="166">
        <f>+D19+D20+D21+D22+D23</f>
        <v>136424336</v>
      </c>
      <c r="E18" s="102">
        <f>+E19+E20+E21+E22+E23</f>
        <v>169161909</v>
      </c>
    </row>
    <row r="19" spans="1:5" s="178" customFormat="1" ht="12" customHeight="1">
      <c r="A19" s="13" t="s">
        <v>70</v>
      </c>
      <c r="B19" s="179" t="s">
        <v>168</v>
      </c>
      <c r="C19" s="168"/>
      <c r="D19" s="168"/>
      <c r="E19" s="104"/>
    </row>
    <row r="20" spans="1:5" s="178" customFormat="1" ht="12" customHeight="1">
      <c r="A20" s="12" t="s">
        <v>71</v>
      </c>
      <c r="B20" s="180" t="s">
        <v>169</v>
      </c>
      <c r="C20" s="167"/>
      <c r="D20" s="167"/>
      <c r="E20" s="103"/>
    </row>
    <row r="21" spans="1:5" s="178" customFormat="1" ht="12" customHeight="1">
      <c r="A21" s="12" t="s">
        <v>72</v>
      </c>
      <c r="B21" s="180" t="s">
        <v>328</v>
      </c>
      <c r="C21" s="167"/>
      <c r="D21" s="167"/>
      <c r="E21" s="103"/>
    </row>
    <row r="22" spans="1:5" s="178" customFormat="1" ht="12" customHeight="1">
      <c r="A22" s="12" t="s">
        <v>73</v>
      </c>
      <c r="B22" s="180" t="s">
        <v>329</v>
      </c>
      <c r="C22" s="167"/>
      <c r="D22" s="167"/>
      <c r="E22" s="103"/>
    </row>
    <row r="23" spans="1:5" s="178" customFormat="1" ht="12" customHeight="1">
      <c r="A23" s="12" t="s">
        <v>74</v>
      </c>
      <c r="B23" s="180" t="s">
        <v>170</v>
      </c>
      <c r="C23" s="167">
        <v>130598640</v>
      </c>
      <c r="D23" s="167">
        <v>136424336</v>
      </c>
      <c r="E23" s="103">
        <v>169161909</v>
      </c>
    </row>
    <row r="24" spans="1:5" s="178" customFormat="1" ht="12" customHeight="1" thickBot="1">
      <c r="A24" s="14" t="s">
        <v>81</v>
      </c>
      <c r="B24" s="111" t="s">
        <v>171</v>
      </c>
      <c r="C24" s="169"/>
      <c r="D24" s="169"/>
      <c r="E24" s="105">
        <v>29141413</v>
      </c>
    </row>
    <row r="25" spans="1:5" s="178" customFormat="1" ht="12" customHeight="1" thickBot="1">
      <c r="A25" s="18" t="s">
        <v>8</v>
      </c>
      <c r="B25" s="19" t="s">
        <v>172</v>
      </c>
      <c r="C25" s="166">
        <f>+C26+C27+C28+C29+C30</f>
        <v>2840403</v>
      </c>
      <c r="D25" s="166">
        <f>+D26+D27+D28+D29+D30</f>
        <v>43339733</v>
      </c>
      <c r="E25" s="102">
        <f>+E26+E27+E28+E29+E30</f>
        <v>51577821</v>
      </c>
    </row>
    <row r="26" spans="1:5" s="178" customFormat="1" ht="12" customHeight="1">
      <c r="A26" s="13" t="s">
        <v>53</v>
      </c>
      <c r="B26" s="179" t="s">
        <v>173</v>
      </c>
      <c r="C26" s="168"/>
      <c r="D26" s="168">
        <v>107000</v>
      </c>
      <c r="E26" s="104">
        <v>107000</v>
      </c>
    </row>
    <row r="27" spans="1:5" s="178" customFormat="1" ht="12" customHeight="1">
      <c r="A27" s="12" t="s">
        <v>54</v>
      </c>
      <c r="B27" s="180" t="s">
        <v>174</v>
      </c>
      <c r="C27" s="167"/>
      <c r="D27" s="167"/>
      <c r="E27" s="103"/>
    </row>
    <row r="28" spans="1:5" s="178" customFormat="1" ht="12" customHeight="1">
      <c r="A28" s="12" t="s">
        <v>55</v>
      </c>
      <c r="B28" s="180" t="s">
        <v>330</v>
      </c>
      <c r="C28" s="167"/>
      <c r="D28" s="167"/>
      <c r="E28" s="103"/>
    </row>
    <row r="29" spans="1:5" s="178" customFormat="1" ht="12" customHeight="1">
      <c r="A29" s="12" t="s">
        <v>56</v>
      </c>
      <c r="B29" s="180" t="s">
        <v>331</v>
      </c>
      <c r="C29" s="167"/>
      <c r="D29" s="167"/>
      <c r="E29" s="103"/>
    </row>
    <row r="30" spans="1:5" s="178" customFormat="1" ht="12" customHeight="1">
      <c r="A30" s="12" t="s">
        <v>112</v>
      </c>
      <c r="B30" s="180" t="s">
        <v>175</v>
      </c>
      <c r="C30" s="167">
        <v>2840403</v>
      </c>
      <c r="D30" s="167">
        <v>43232733</v>
      </c>
      <c r="E30" s="103">
        <v>51470821</v>
      </c>
    </row>
    <row r="31" spans="1:5" s="178" customFormat="1" ht="12" customHeight="1" thickBot="1">
      <c r="A31" s="14" t="s">
        <v>113</v>
      </c>
      <c r="B31" s="181" t="s">
        <v>176</v>
      </c>
      <c r="C31" s="169"/>
      <c r="D31" s="169"/>
      <c r="E31" s="105">
        <v>33204317</v>
      </c>
    </row>
    <row r="32" spans="1:5" s="178" customFormat="1" ht="12" customHeight="1" thickBot="1">
      <c r="A32" s="18" t="s">
        <v>114</v>
      </c>
      <c r="B32" s="19" t="s">
        <v>487</v>
      </c>
      <c r="C32" s="172">
        <f>SUM(C33:C39)</f>
        <v>52320000</v>
      </c>
      <c r="D32" s="172">
        <f>SUM(D33:D39)</f>
        <v>53230155</v>
      </c>
      <c r="E32" s="208">
        <f>SUM(E33:E39)</f>
        <v>58430424</v>
      </c>
    </row>
    <row r="33" spans="1:5" s="178" customFormat="1" ht="12" customHeight="1">
      <c r="A33" s="13" t="s">
        <v>177</v>
      </c>
      <c r="B33" s="179" t="s">
        <v>899</v>
      </c>
      <c r="C33" s="168">
        <v>13800000</v>
      </c>
      <c r="D33" s="168">
        <v>13800000</v>
      </c>
      <c r="E33" s="104">
        <v>11287289</v>
      </c>
    </row>
    <row r="34" spans="1:5" s="178" customFormat="1" ht="12" customHeight="1">
      <c r="A34" s="12" t="s">
        <v>178</v>
      </c>
      <c r="B34" s="180" t="s">
        <v>489</v>
      </c>
      <c r="C34" s="167"/>
      <c r="D34" s="167"/>
      <c r="E34" s="103"/>
    </row>
    <row r="35" spans="1:5" s="178" customFormat="1" ht="12" customHeight="1">
      <c r="A35" s="12" t="s">
        <v>179</v>
      </c>
      <c r="B35" s="180" t="s">
        <v>490</v>
      </c>
      <c r="C35" s="167">
        <v>29300000</v>
      </c>
      <c r="D35" s="167">
        <v>29705353</v>
      </c>
      <c r="E35" s="103">
        <v>38556174</v>
      </c>
    </row>
    <row r="36" spans="1:5" s="178" customFormat="1" ht="12" customHeight="1">
      <c r="A36" s="12" t="s">
        <v>180</v>
      </c>
      <c r="B36" s="180" t="s">
        <v>491</v>
      </c>
      <c r="C36" s="167">
        <v>650000</v>
      </c>
      <c r="D36" s="167">
        <v>650000</v>
      </c>
      <c r="E36" s="103"/>
    </row>
    <row r="37" spans="1:5" s="178" customFormat="1" ht="12" customHeight="1">
      <c r="A37" s="12" t="s">
        <v>492</v>
      </c>
      <c r="B37" s="180" t="s">
        <v>181</v>
      </c>
      <c r="C37" s="167">
        <v>7220000</v>
      </c>
      <c r="D37" s="167">
        <v>7724802</v>
      </c>
      <c r="E37" s="103">
        <v>7724802</v>
      </c>
    </row>
    <row r="38" spans="1:5" s="178" customFormat="1" ht="12" customHeight="1">
      <c r="A38" s="12" t="s">
        <v>493</v>
      </c>
      <c r="B38" s="180" t="s">
        <v>182</v>
      </c>
      <c r="C38" s="167"/>
      <c r="D38" s="167"/>
      <c r="E38" s="103"/>
    </row>
    <row r="39" spans="1:5" s="178" customFormat="1" ht="12" customHeight="1" thickBot="1">
      <c r="A39" s="14" t="s">
        <v>494</v>
      </c>
      <c r="B39" s="329" t="s">
        <v>183</v>
      </c>
      <c r="C39" s="169">
        <v>1350000</v>
      </c>
      <c r="D39" s="169">
        <v>1350000</v>
      </c>
      <c r="E39" s="105">
        <v>862159</v>
      </c>
    </row>
    <row r="40" spans="1:5" s="178" customFormat="1" ht="12" customHeight="1" thickBot="1">
      <c r="A40" s="18" t="s">
        <v>10</v>
      </c>
      <c r="B40" s="19" t="s">
        <v>338</v>
      </c>
      <c r="C40" s="166">
        <f>SUM(C41:C51)</f>
        <v>44591418</v>
      </c>
      <c r="D40" s="166">
        <f>SUM(D41:D51)</f>
        <v>62980062</v>
      </c>
      <c r="E40" s="102">
        <f>SUM(E41:E51)</f>
        <v>64550614</v>
      </c>
    </row>
    <row r="41" spans="1:5" s="178" customFormat="1" ht="12" customHeight="1">
      <c r="A41" s="13" t="s">
        <v>57</v>
      </c>
      <c r="B41" s="179" t="s">
        <v>186</v>
      </c>
      <c r="C41" s="168">
        <v>10000</v>
      </c>
      <c r="D41" s="168">
        <v>3848986</v>
      </c>
      <c r="E41" s="104">
        <v>3976439</v>
      </c>
    </row>
    <row r="42" spans="1:5" s="178" customFormat="1" ht="12" customHeight="1">
      <c r="A42" s="12" t="s">
        <v>58</v>
      </c>
      <c r="B42" s="180" t="s">
        <v>187</v>
      </c>
      <c r="C42" s="167">
        <v>6957341</v>
      </c>
      <c r="D42" s="167">
        <v>14253416</v>
      </c>
      <c r="E42" s="103">
        <v>15576558</v>
      </c>
    </row>
    <row r="43" spans="1:5" s="178" customFormat="1" ht="12" customHeight="1">
      <c r="A43" s="12" t="s">
        <v>59</v>
      </c>
      <c r="B43" s="180" t="s">
        <v>188</v>
      </c>
      <c r="C43" s="167"/>
      <c r="D43" s="167">
        <v>540043</v>
      </c>
      <c r="E43" s="103">
        <v>540043</v>
      </c>
    </row>
    <row r="44" spans="1:5" s="178" customFormat="1" ht="12" customHeight="1">
      <c r="A44" s="12" t="s">
        <v>116</v>
      </c>
      <c r="B44" s="180" t="s">
        <v>189</v>
      </c>
      <c r="C44" s="167"/>
      <c r="D44" s="167"/>
      <c r="E44" s="103"/>
    </row>
    <row r="45" spans="1:5" s="178" customFormat="1" ht="12" customHeight="1">
      <c r="A45" s="12" t="s">
        <v>117</v>
      </c>
      <c r="B45" s="180" t="s">
        <v>190</v>
      </c>
      <c r="C45" s="167">
        <v>25390290</v>
      </c>
      <c r="D45" s="167">
        <v>25496941</v>
      </c>
      <c r="E45" s="103">
        <v>14933005</v>
      </c>
    </row>
    <row r="46" spans="1:5" s="178" customFormat="1" ht="12" customHeight="1">
      <c r="A46" s="12" t="s">
        <v>118</v>
      </c>
      <c r="B46" s="180" t="s">
        <v>191</v>
      </c>
      <c r="C46" s="167">
        <v>8733787</v>
      </c>
      <c r="D46" s="167">
        <v>10150165</v>
      </c>
      <c r="E46" s="103">
        <v>11049136</v>
      </c>
    </row>
    <row r="47" spans="1:5" s="178" customFormat="1" ht="12" customHeight="1">
      <c r="A47" s="12" t="s">
        <v>119</v>
      </c>
      <c r="B47" s="180" t="s">
        <v>192</v>
      </c>
      <c r="C47" s="167"/>
      <c r="D47" s="167"/>
      <c r="E47" s="103"/>
    </row>
    <row r="48" spans="1:5" s="178" customFormat="1" ht="12" customHeight="1">
      <c r="A48" s="12" t="s">
        <v>120</v>
      </c>
      <c r="B48" s="180" t="s">
        <v>495</v>
      </c>
      <c r="C48" s="167"/>
      <c r="D48" s="167">
        <v>214134</v>
      </c>
      <c r="E48" s="103">
        <v>2421812</v>
      </c>
    </row>
    <row r="49" spans="1:5" s="178" customFormat="1" ht="12" customHeight="1">
      <c r="A49" s="12" t="s">
        <v>184</v>
      </c>
      <c r="B49" s="180" t="s">
        <v>194</v>
      </c>
      <c r="C49" s="170"/>
      <c r="D49" s="170"/>
      <c r="E49" s="106"/>
    </row>
    <row r="50" spans="1:5" s="178" customFormat="1" ht="12" customHeight="1">
      <c r="A50" s="14" t="s">
        <v>185</v>
      </c>
      <c r="B50" s="181" t="s">
        <v>340</v>
      </c>
      <c r="C50" s="171"/>
      <c r="D50" s="171"/>
      <c r="E50" s="107"/>
    </row>
    <row r="51" spans="1:5" s="178" customFormat="1" ht="12" customHeight="1" thickBot="1">
      <c r="A51" s="14" t="s">
        <v>339</v>
      </c>
      <c r="B51" s="111" t="s">
        <v>195</v>
      </c>
      <c r="C51" s="171">
        <v>3500000</v>
      </c>
      <c r="D51" s="171">
        <v>8476377</v>
      </c>
      <c r="E51" s="107">
        <v>16053621</v>
      </c>
    </row>
    <row r="52" spans="1:5" s="178" customFormat="1" ht="12" customHeight="1" thickBot="1">
      <c r="A52" s="18" t="s">
        <v>11</v>
      </c>
      <c r="B52" s="19" t="s">
        <v>196</v>
      </c>
      <c r="C52" s="166">
        <f>SUM(C53:C57)</f>
        <v>23494885</v>
      </c>
      <c r="D52" s="166">
        <f>SUM(D53:D57)</f>
        <v>23494885</v>
      </c>
      <c r="E52" s="102">
        <f>SUM(E53:E57)</f>
        <v>0</v>
      </c>
    </row>
    <row r="53" spans="1:5" s="178" customFormat="1" ht="12" customHeight="1">
      <c r="A53" s="13" t="s">
        <v>60</v>
      </c>
      <c r="B53" s="179" t="s">
        <v>200</v>
      </c>
      <c r="C53" s="219"/>
      <c r="D53" s="219"/>
      <c r="E53" s="108"/>
    </row>
    <row r="54" spans="1:5" s="178" customFormat="1" ht="12" customHeight="1">
      <c r="A54" s="12" t="s">
        <v>61</v>
      </c>
      <c r="B54" s="180" t="s">
        <v>201</v>
      </c>
      <c r="C54" s="170">
        <v>23494885</v>
      </c>
      <c r="D54" s="170">
        <v>23494885</v>
      </c>
      <c r="E54" s="106"/>
    </row>
    <row r="55" spans="1:5" s="178" customFormat="1" ht="12" customHeight="1">
      <c r="A55" s="12" t="s">
        <v>197</v>
      </c>
      <c r="B55" s="180" t="s">
        <v>202</v>
      </c>
      <c r="C55" s="170"/>
      <c r="D55" s="170"/>
      <c r="E55" s="106"/>
    </row>
    <row r="56" spans="1:5" s="178" customFormat="1" ht="12" customHeight="1">
      <c r="A56" s="12" t="s">
        <v>198</v>
      </c>
      <c r="B56" s="180" t="s">
        <v>203</v>
      </c>
      <c r="C56" s="170"/>
      <c r="D56" s="170"/>
      <c r="E56" s="106"/>
    </row>
    <row r="57" spans="1:5" s="178" customFormat="1" ht="12" customHeight="1" thickBot="1">
      <c r="A57" s="14" t="s">
        <v>199</v>
      </c>
      <c r="B57" s="111" t="s">
        <v>204</v>
      </c>
      <c r="C57" s="171"/>
      <c r="D57" s="171"/>
      <c r="E57" s="107"/>
    </row>
    <row r="58" spans="1:5" s="178" customFormat="1" ht="12" customHeight="1" thickBot="1">
      <c r="A58" s="18" t="s">
        <v>121</v>
      </c>
      <c r="B58" s="19" t="s">
        <v>205</v>
      </c>
      <c r="C58" s="166">
        <f>SUM(C59:C61)</f>
        <v>0</v>
      </c>
      <c r="D58" s="166">
        <f>SUM(D59:D61)</f>
        <v>2227930</v>
      </c>
      <c r="E58" s="102">
        <f>SUM(E59:E61)</f>
        <v>9926388</v>
      </c>
    </row>
    <row r="59" spans="1:5" s="178" customFormat="1" ht="12" customHeight="1">
      <c r="A59" s="13" t="s">
        <v>62</v>
      </c>
      <c r="B59" s="179" t="s">
        <v>206</v>
      </c>
      <c r="C59" s="168"/>
      <c r="D59" s="168"/>
      <c r="E59" s="104"/>
    </row>
    <row r="60" spans="1:5" s="178" customFormat="1" ht="12" customHeight="1">
      <c r="A60" s="12" t="s">
        <v>63</v>
      </c>
      <c r="B60" s="180" t="s">
        <v>332</v>
      </c>
      <c r="C60" s="167"/>
      <c r="D60" s="167">
        <v>2007930</v>
      </c>
      <c r="E60" s="103">
        <v>2109155</v>
      </c>
    </row>
    <row r="61" spans="1:5" s="178" customFormat="1" ht="12" customHeight="1">
      <c r="A61" s="12" t="s">
        <v>209</v>
      </c>
      <c r="B61" s="180" t="s">
        <v>207</v>
      </c>
      <c r="C61" s="167"/>
      <c r="D61" s="167">
        <v>220000</v>
      </c>
      <c r="E61" s="103">
        <v>7817233</v>
      </c>
    </row>
    <row r="62" spans="1:5" s="178" customFormat="1" ht="12" customHeight="1" thickBot="1">
      <c r="A62" s="14" t="s">
        <v>210</v>
      </c>
      <c r="B62" s="111" t="s">
        <v>208</v>
      </c>
      <c r="C62" s="169"/>
      <c r="D62" s="169"/>
      <c r="E62" s="105"/>
    </row>
    <row r="63" spans="1:5" s="178" customFormat="1" ht="12" customHeight="1" thickBot="1">
      <c r="A63" s="18" t="s">
        <v>13</v>
      </c>
      <c r="B63" s="109" t="s">
        <v>211</v>
      </c>
      <c r="C63" s="166">
        <f>SUM(C64:C66)</f>
        <v>0</v>
      </c>
      <c r="D63" s="166">
        <f>SUM(D64:D66)</f>
        <v>0</v>
      </c>
      <c r="E63" s="102">
        <f>SUM(E64:E66)</f>
        <v>3752010</v>
      </c>
    </row>
    <row r="64" spans="1:5" s="178" customFormat="1" ht="12" customHeight="1">
      <c r="A64" s="13" t="s">
        <v>122</v>
      </c>
      <c r="B64" s="179" t="s">
        <v>213</v>
      </c>
      <c r="C64" s="170"/>
      <c r="D64" s="170"/>
      <c r="E64" s="106"/>
    </row>
    <row r="65" spans="1:5" s="178" customFormat="1" ht="12" customHeight="1">
      <c r="A65" s="12" t="s">
        <v>123</v>
      </c>
      <c r="B65" s="180" t="s">
        <v>333</v>
      </c>
      <c r="C65" s="170"/>
      <c r="D65" s="170"/>
      <c r="E65" s="106"/>
    </row>
    <row r="66" spans="1:5" s="178" customFormat="1" ht="12" customHeight="1">
      <c r="A66" s="12" t="s">
        <v>146</v>
      </c>
      <c r="B66" s="180" t="s">
        <v>214</v>
      </c>
      <c r="C66" s="170"/>
      <c r="D66" s="170"/>
      <c r="E66" s="106">
        <v>3752010</v>
      </c>
    </row>
    <row r="67" spans="1:5" s="178" customFormat="1" ht="12" customHeight="1" thickBot="1">
      <c r="A67" s="14" t="s">
        <v>212</v>
      </c>
      <c r="B67" s="111" t="s">
        <v>215</v>
      </c>
      <c r="C67" s="170"/>
      <c r="D67" s="170"/>
      <c r="E67" s="106"/>
    </row>
    <row r="68" spans="1:5" s="178" customFormat="1" ht="12" customHeight="1" thickBot="1">
      <c r="A68" s="233" t="s">
        <v>380</v>
      </c>
      <c r="B68" s="19" t="s">
        <v>216</v>
      </c>
      <c r="C68" s="172">
        <f>+C11+C18+C25+C32+C40+C52+C58+C63</f>
        <v>536355346</v>
      </c>
      <c r="D68" s="172">
        <f>+D11+D18+D25+D32+D40+D52+D58+D63</f>
        <v>615401072</v>
      </c>
      <c r="E68" s="208">
        <f>+E11+E18+E25+E32+E40+E52+E58+E63</f>
        <v>629292317</v>
      </c>
    </row>
    <row r="69" spans="1:5" s="178" customFormat="1" ht="12" customHeight="1" thickBot="1">
      <c r="A69" s="220" t="s">
        <v>217</v>
      </c>
      <c r="B69" s="109" t="s">
        <v>218</v>
      </c>
      <c r="C69" s="166">
        <f>SUM(C70:C72)</f>
        <v>0</v>
      </c>
      <c r="D69" s="166">
        <f>SUM(D70:D72)</f>
        <v>0</v>
      </c>
      <c r="E69" s="102">
        <f>SUM(E70:E72)</f>
        <v>0</v>
      </c>
    </row>
    <row r="70" spans="1:5" s="178" customFormat="1" ht="12" customHeight="1">
      <c r="A70" s="13" t="s">
        <v>246</v>
      </c>
      <c r="B70" s="179" t="s">
        <v>219</v>
      </c>
      <c r="C70" s="170"/>
      <c r="D70" s="170"/>
      <c r="E70" s="106"/>
    </row>
    <row r="71" spans="1:5" s="178" customFormat="1" ht="12" customHeight="1">
      <c r="A71" s="12" t="s">
        <v>255</v>
      </c>
      <c r="B71" s="180" t="s">
        <v>220</v>
      </c>
      <c r="C71" s="170"/>
      <c r="D71" s="170"/>
      <c r="E71" s="106"/>
    </row>
    <row r="72" spans="1:5" s="178" customFormat="1" ht="12" customHeight="1" thickBot="1">
      <c r="A72" s="14" t="s">
        <v>256</v>
      </c>
      <c r="B72" s="229" t="s">
        <v>365</v>
      </c>
      <c r="C72" s="170"/>
      <c r="D72" s="170"/>
      <c r="E72" s="106"/>
    </row>
    <row r="73" spans="1:5" s="178" customFormat="1" ht="12" customHeight="1" thickBot="1">
      <c r="A73" s="220" t="s">
        <v>222</v>
      </c>
      <c r="B73" s="109" t="s">
        <v>223</v>
      </c>
      <c r="C73" s="166">
        <f>SUM(C74:C77)</f>
        <v>0</v>
      </c>
      <c r="D73" s="166">
        <f>SUM(D74:D77)</f>
        <v>0</v>
      </c>
      <c r="E73" s="102">
        <f>SUM(E74:E77)</f>
        <v>0</v>
      </c>
    </row>
    <row r="74" spans="1:5" s="178" customFormat="1" ht="12" customHeight="1">
      <c r="A74" s="13" t="s">
        <v>100</v>
      </c>
      <c r="B74" s="367" t="s">
        <v>224</v>
      </c>
      <c r="C74" s="170"/>
      <c r="D74" s="170"/>
      <c r="E74" s="106"/>
    </row>
    <row r="75" spans="1:5" s="178" customFormat="1" ht="12" customHeight="1">
      <c r="A75" s="12" t="s">
        <v>101</v>
      </c>
      <c r="B75" s="367" t="s">
        <v>502</v>
      </c>
      <c r="C75" s="170"/>
      <c r="D75" s="170"/>
      <c r="E75" s="106"/>
    </row>
    <row r="76" spans="1:5" s="178" customFormat="1" ht="12" customHeight="1">
      <c r="A76" s="12" t="s">
        <v>247</v>
      </c>
      <c r="B76" s="367" t="s">
        <v>225</v>
      </c>
      <c r="C76" s="170"/>
      <c r="D76" s="170"/>
      <c r="E76" s="106"/>
    </row>
    <row r="77" spans="1:5" s="178" customFormat="1" ht="12" customHeight="1" thickBot="1">
      <c r="A77" s="14" t="s">
        <v>248</v>
      </c>
      <c r="B77" s="368" t="s">
        <v>503</v>
      </c>
      <c r="C77" s="170"/>
      <c r="D77" s="170"/>
      <c r="E77" s="106"/>
    </row>
    <row r="78" spans="1:5" s="178" customFormat="1" ht="12" customHeight="1" thickBot="1">
      <c r="A78" s="220" t="s">
        <v>226</v>
      </c>
      <c r="B78" s="109" t="s">
        <v>227</v>
      </c>
      <c r="C78" s="166">
        <f>SUM(C79:C80)</f>
        <v>0</v>
      </c>
      <c r="D78" s="166">
        <f>SUM(D79:D80)</f>
        <v>252637277</v>
      </c>
      <c r="E78" s="102">
        <f>SUM(E79:E80)</f>
        <v>785500149</v>
      </c>
    </row>
    <row r="79" spans="1:5" s="178" customFormat="1" ht="12" customHeight="1">
      <c r="A79" s="13" t="s">
        <v>249</v>
      </c>
      <c r="B79" s="179" t="s">
        <v>228</v>
      </c>
      <c r="C79" s="170"/>
      <c r="D79" s="170">
        <v>252637277</v>
      </c>
      <c r="E79" s="106">
        <v>485500149</v>
      </c>
    </row>
    <row r="80" spans="1:5" s="178" customFormat="1" ht="12" customHeight="1" thickBot="1">
      <c r="A80" s="14" t="s">
        <v>250</v>
      </c>
      <c r="B80" s="111" t="s">
        <v>902</v>
      </c>
      <c r="C80" s="170"/>
      <c r="D80" s="170"/>
      <c r="E80" s="106">
        <v>300000000</v>
      </c>
    </row>
    <row r="81" spans="1:5" s="178" customFormat="1" ht="12" customHeight="1" thickBot="1">
      <c r="A81" s="220" t="s">
        <v>230</v>
      </c>
      <c r="B81" s="109" t="s">
        <v>231</v>
      </c>
      <c r="C81" s="166">
        <f>SUM(C82:C84)</f>
        <v>97195297</v>
      </c>
      <c r="D81" s="166">
        <f>SUM(D82:D84)</f>
        <v>97195297</v>
      </c>
      <c r="E81" s="102">
        <f>SUM(E82:E84)</f>
        <v>104510868</v>
      </c>
    </row>
    <row r="82" spans="1:5" s="178" customFormat="1" ht="12" customHeight="1">
      <c r="A82" s="13" t="s">
        <v>251</v>
      </c>
      <c r="B82" s="179" t="s">
        <v>232</v>
      </c>
      <c r="C82" s="170"/>
      <c r="D82" s="170"/>
      <c r="E82" s="106">
        <v>9902825</v>
      </c>
    </row>
    <row r="83" spans="1:5" s="178" customFormat="1" ht="12" customHeight="1">
      <c r="A83" s="12" t="s">
        <v>252</v>
      </c>
      <c r="B83" s="180" t="s">
        <v>233</v>
      </c>
      <c r="C83" s="170"/>
      <c r="D83" s="170"/>
      <c r="E83" s="106"/>
    </row>
    <row r="84" spans="1:5" s="178" customFormat="1" ht="12" customHeight="1" thickBot="1">
      <c r="A84" s="14" t="s">
        <v>253</v>
      </c>
      <c r="B84" s="769" t="s">
        <v>900</v>
      </c>
      <c r="C84" s="170">
        <v>97195297</v>
      </c>
      <c r="D84" s="170">
        <v>97195297</v>
      </c>
      <c r="E84" s="106">
        <v>94608043</v>
      </c>
    </row>
    <row r="85" spans="1:5" s="178" customFormat="1" ht="12" customHeight="1" thickBot="1">
      <c r="A85" s="220" t="s">
        <v>234</v>
      </c>
      <c r="B85" s="109" t="s">
        <v>254</v>
      </c>
      <c r="C85" s="166">
        <f>SUM(C86:C89)</f>
        <v>0</v>
      </c>
      <c r="D85" s="166">
        <f>SUM(D86:D89)</f>
        <v>0</v>
      </c>
      <c r="E85" s="102">
        <f>SUM(E86:E89)</f>
        <v>0</v>
      </c>
    </row>
    <row r="86" spans="1:5" s="178" customFormat="1" ht="12" customHeight="1">
      <c r="A86" s="183" t="s">
        <v>235</v>
      </c>
      <c r="B86" s="179" t="s">
        <v>236</v>
      </c>
      <c r="C86" s="170"/>
      <c r="D86" s="170"/>
      <c r="E86" s="106"/>
    </row>
    <row r="87" spans="1:5" s="178" customFormat="1" ht="12" customHeight="1">
      <c r="A87" s="184" t="s">
        <v>237</v>
      </c>
      <c r="B87" s="180" t="s">
        <v>238</v>
      </c>
      <c r="C87" s="170"/>
      <c r="D87" s="170"/>
      <c r="E87" s="106"/>
    </row>
    <row r="88" spans="1:5" s="178" customFormat="1" ht="12" customHeight="1">
      <c r="A88" s="184" t="s">
        <v>239</v>
      </c>
      <c r="B88" s="180" t="s">
        <v>240</v>
      </c>
      <c r="C88" s="170"/>
      <c r="D88" s="170"/>
      <c r="E88" s="106"/>
    </row>
    <row r="89" spans="1:5" s="178" customFormat="1" ht="12" customHeight="1" thickBot="1">
      <c r="A89" s="185" t="s">
        <v>241</v>
      </c>
      <c r="B89" s="111" t="s">
        <v>242</v>
      </c>
      <c r="C89" s="170"/>
      <c r="D89" s="170"/>
      <c r="E89" s="106"/>
    </row>
    <row r="90" spans="1:5" s="178" customFormat="1" ht="12" customHeight="1" thickBot="1">
      <c r="A90" s="220" t="s">
        <v>243</v>
      </c>
      <c r="B90" s="109" t="s">
        <v>379</v>
      </c>
      <c r="C90" s="222"/>
      <c r="D90" s="222"/>
      <c r="E90" s="223"/>
    </row>
    <row r="91" spans="1:5" s="178" customFormat="1" ht="13.5" customHeight="1" thickBot="1">
      <c r="A91" s="220" t="s">
        <v>245</v>
      </c>
      <c r="B91" s="109" t="s">
        <v>244</v>
      </c>
      <c r="C91" s="222"/>
      <c r="D91" s="222"/>
      <c r="E91" s="223"/>
    </row>
    <row r="92" spans="1:5" s="178" customFormat="1" ht="15.75" customHeight="1" thickBot="1">
      <c r="A92" s="220" t="s">
        <v>257</v>
      </c>
      <c r="B92" s="186" t="s">
        <v>382</v>
      </c>
      <c r="C92" s="172">
        <f>+C69+C73+C78+C81+C85+C91+C90</f>
        <v>97195297</v>
      </c>
      <c r="D92" s="172">
        <f>+D69+D73+D78+D81+D85+D91+D90</f>
        <v>349832574</v>
      </c>
      <c r="E92" s="208">
        <f>+E69+E73+E78+E81+E85+E91+E90</f>
        <v>890011017</v>
      </c>
    </row>
    <row r="93" spans="1:5" s="178" customFormat="1" ht="25.5" customHeight="1" thickBot="1">
      <c r="A93" s="221" t="s">
        <v>381</v>
      </c>
      <c r="B93" s="187" t="s">
        <v>383</v>
      </c>
      <c r="C93" s="172">
        <f>+C68+C92</f>
        <v>633550643</v>
      </c>
      <c r="D93" s="172">
        <f>+D68+D92</f>
        <v>965233646</v>
      </c>
      <c r="E93" s="208">
        <f>+E68+E92</f>
        <v>1519303334</v>
      </c>
    </row>
    <row r="94" spans="1:3" s="178" customFormat="1" ht="15" customHeight="1">
      <c r="A94" s="3"/>
      <c r="B94" s="4"/>
      <c r="C94" s="113"/>
    </row>
    <row r="95" spans="1:5" ht="16.5" customHeight="1">
      <c r="A95" s="810" t="s">
        <v>34</v>
      </c>
      <c r="B95" s="810"/>
      <c r="C95" s="810"/>
      <c r="D95" s="810"/>
      <c r="E95" s="810"/>
    </row>
    <row r="96" spans="1:5" s="188" customFormat="1" ht="16.5" customHeight="1" thickBot="1">
      <c r="A96" s="812" t="s">
        <v>103</v>
      </c>
      <c r="B96" s="812"/>
      <c r="C96" s="60"/>
      <c r="E96" s="60" t="str">
        <f>E7</f>
        <v> Forintban!</v>
      </c>
    </row>
    <row r="97" spans="1:5" ht="15.75">
      <c r="A97" s="801" t="s">
        <v>52</v>
      </c>
      <c r="B97" s="803" t="s">
        <v>423</v>
      </c>
      <c r="C97" s="805" t="str">
        <f>+CONCATENATE(LEFT(Z_ÖSSZEFÜGGÉSEK!A6,4),". évi")</f>
        <v>2018. évi</v>
      </c>
      <c r="D97" s="806"/>
      <c r="E97" s="807"/>
    </row>
    <row r="98" spans="1:5" ht="24.75" thickBot="1">
      <c r="A98" s="802"/>
      <c r="B98" s="804"/>
      <c r="C98" s="250" t="s">
        <v>421</v>
      </c>
      <c r="D98" s="249" t="s">
        <v>422</v>
      </c>
      <c r="E98" s="369" t="str">
        <f>CONCATENATE(E9)</f>
        <v>2018. XII. 31.
teljesítés</v>
      </c>
    </row>
    <row r="99" spans="1:5" s="177" customFormat="1" ht="12" customHeight="1" thickBot="1">
      <c r="A99" s="25" t="s">
        <v>388</v>
      </c>
      <c r="B99" s="26" t="s">
        <v>389</v>
      </c>
      <c r="C99" s="26" t="s">
        <v>390</v>
      </c>
      <c r="D99" s="26" t="s">
        <v>392</v>
      </c>
      <c r="E99" s="261" t="s">
        <v>391</v>
      </c>
    </row>
    <row r="100" spans="1:5" ht="12" customHeight="1" thickBot="1">
      <c r="A100" s="20" t="s">
        <v>6</v>
      </c>
      <c r="B100" s="24" t="s">
        <v>341</v>
      </c>
      <c r="C100" s="165">
        <f>C101+C102+C103+C104+C105+C118</f>
        <v>449943939</v>
      </c>
      <c r="D100" s="165">
        <f>D101+D102+D103+D104+D105+D118</f>
        <v>577761343</v>
      </c>
      <c r="E100" s="236">
        <f>E101+E102+E103+E104+E105+E118</f>
        <v>495910223</v>
      </c>
    </row>
    <row r="101" spans="1:5" ht="12" customHeight="1">
      <c r="A101" s="15" t="s">
        <v>64</v>
      </c>
      <c r="B101" s="8" t="s">
        <v>35</v>
      </c>
      <c r="C101" s="243">
        <v>208023827</v>
      </c>
      <c r="D101" s="243">
        <v>222766390</v>
      </c>
      <c r="E101" s="237">
        <v>222292885</v>
      </c>
    </row>
    <row r="102" spans="1:5" ht="12" customHeight="1">
      <c r="A102" s="12" t="s">
        <v>65</v>
      </c>
      <c r="B102" s="6" t="s">
        <v>124</v>
      </c>
      <c r="C102" s="167">
        <v>30859555</v>
      </c>
      <c r="D102" s="167">
        <v>42295566</v>
      </c>
      <c r="E102" s="103">
        <v>34474028</v>
      </c>
    </row>
    <row r="103" spans="1:5" ht="12" customHeight="1">
      <c r="A103" s="12" t="s">
        <v>66</v>
      </c>
      <c r="B103" s="6" t="s">
        <v>92</v>
      </c>
      <c r="C103" s="169">
        <v>159014993</v>
      </c>
      <c r="D103" s="169">
        <v>245051430</v>
      </c>
      <c r="E103" s="105">
        <v>191552962</v>
      </c>
    </row>
    <row r="104" spans="1:5" ht="12" customHeight="1">
      <c r="A104" s="12" t="s">
        <v>67</v>
      </c>
      <c r="B104" s="9" t="s">
        <v>125</v>
      </c>
      <c r="C104" s="169">
        <v>31641000</v>
      </c>
      <c r="D104" s="169">
        <v>45650312</v>
      </c>
      <c r="E104" s="105">
        <v>32220008</v>
      </c>
    </row>
    <row r="105" spans="1:5" ht="12" customHeight="1">
      <c r="A105" s="12" t="s">
        <v>76</v>
      </c>
      <c r="B105" s="17" t="s">
        <v>126</v>
      </c>
      <c r="C105" s="169">
        <f>SUM(C106:C117)</f>
        <v>20404564</v>
      </c>
      <c r="D105" s="169">
        <f>SUM(D106:D117)</f>
        <v>21997645</v>
      </c>
      <c r="E105" s="169">
        <f>SUM(E106:E117)</f>
        <v>15370340</v>
      </c>
    </row>
    <row r="106" spans="1:5" ht="12" customHeight="1">
      <c r="A106" s="12" t="s">
        <v>68</v>
      </c>
      <c r="B106" s="6" t="s">
        <v>346</v>
      </c>
      <c r="C106" s="169"/>
      <c r="D106" s="169">
        <v>933081</v>
      </c>
      <c r="E106" s="105">
        <v>933081</v>
      </c>
    </row>
    <row r="107" spans="1:5" ht="12" customHeight="1">
      <c r="A107" s="12" t="s">
        <v>69</v>
      </c>
      <c r="B107" s="64" t="s">
        <v>345</v>
      </c>
      <c r="C107" s="169"/>
      <c r="D107" s="169"/>
      <c r="E107" s="105"/>
    </row>
    <row r="108" spans="1:5" ht="12" customHeight="1">
      <c r="A108" s="12" t="s">
        <v>77</v>
      </c>
      <c r="B108" s="64" t="s">
        <v>344</v>
      </c>
      <c r="C108" s="169"/>
      <c r="D108" s="169"/>
      <c r="E108" s="105"/>
    </row>
    <row r="109" spans="1:5" ht="12" customHeight="1">
      <c r="A109" s="12" t="s">
        <v>78</v>
      </c>
      <c r="B109" s="62" t="s">
        <v>260</v>
      </c>
      <c r="C109" s="169"/>
      <c r="D109" s="169"/>
      <c r="E109" s="105"/>
    </row>
    <row r="110" spans="1:5" ht="12" customHeight="1">
      <c r="A110" s="12" t="s">
        <v>79</v>
      </c>
      <c r="B110" s="63" t="s">
        <v>261</v>
      </c>
      <c r="C110" s="169"/>
      <c r="D110" s="169"/>
      <c r="E110" s="105"/>
    </row>
    <row r="111" spans="1:5" ht="12" customHeight="1">
      <c r="A111" s="12" t="s">
        <v>80</v>
      </c>
      <c r="B111" s="63" t="s">
        <v>262</v>
      </c>
      <c r="C111" s="169"/>
      <c r="D111" s="169"/>
      <c r="E111" s="105"/>
    </row>
    <row r="112" spans="1:5" ht="12" customHeight="1">
      <c r="A112" s="12" t="s">
        <v>82</v>
      </c>
      <c r="B112" s="62" t="s">
        <v>263</v>
      </c>
      <c r="C112" s="169">
        <v>19404564</v>
      </c>
      <c r="D112" s="169">
        <v>1162305</v>
      </c>
      <c r="E112" s="105"/>
    </row>
    <row r="113" spans="1:5" ht="12" customHeight="1">
      <c r="A113" s="12" t="s">
        <v>127</v>
      </c>
      <c r="B113" s="62" t="s">
        <v>264</v>
      </c>
      <c r="C113" s="169"/>
      <c r="D113" s="169"/>
      <c r="E113" s="105"/>
    </row>
    <row r="114" spans="1:5" ht="12" customHeight="1">
      <c r="A114" s="12" t="s">
        <v>258</v>
      </c>
      <c r="B114" s="63" t="s">
        <v>265</v>
      </c>
      <c r="C114" s="169"/>
      <c r="D114" s="169">
        <v>5040000</v>
      </c>
      <c r="E114" s="105">
        <v>1195000</v>
      </c>
    </row>
    <row r="115" spans="1:5" ht="12" customHeight="1">
      <c r="A115" s="11" t="s">
        <v>259</v>
      </c>
      <c r="B115" s="64" t="s">
        <v>266</v>
      </c>
      <c r="C115" s="169"/>
      <c r="D115" s="169"/>
      <c r="E115" s="105"/>
    </row>
    <row r="116" spans="1:5" ht="12" customHeight="1">
      <c r="A116" s="12" t="s">
        <v>342</v>
      </c>
      <c r="B116" s="64" t="s">
        <v>267</v>
      </c>
      <c r="C116" s="169"/>
      <c r="D116" s="169"/>
      <c r="E116" s="105"/>
    </row>
    <row r="117" spans="1:5" ht="12" customHeight="1">
      <c r="A117" s="14" t="s">
        <v>343</v>
      </c>
      <c r="B117" s="64" t="s">
        <v>268</v>
      </c>
      <c r="C117" s="169">
        <v>1000000</v>
      </c>
      <c r="D117" s="169">
        <v>14862259</v>
      </c>
      <c r="E117" s="105">
        <v>13242259</v>
      </c>
    </row>
    <row r="118" spans="1:5" ht="12" customHeight="1">
      <c r="A118" s="12" t="s">
        <v>347</v>
      </c>
      <c r="B118" s="9" t="s">
        <v>36</v>
      </c>
      <c r="C118" s="167"/>
      <c r="D118" s="167"/>
      <c r="E118" s="103"/>
    </row>
    <row r="119" spans="1:5" ht="12" customHeight="1">
      <c r="A119" s="12" t="s">
        <v>348</v>
      </c>
      <c r="B119" s="6" t="s">
        <v>350</v>
      </c>
      <c r="C119" s="167"/>
      <c r="D119" s="167"/>
      <c r="E119" s="103"/>
    </row>
    <row r="120" spans="1:5" ht="12" customHeight="1" thickBot="1">
      <c r="A120" s="16" t="s">
        <v>349</v>
      </c>
      <c r="B120" s="232" t="s">
        <v>351</v>
      </c>
      <c r="C120" s="244"/>
      <c r="D120" s="244"/>
      <c r="E120" s="238"/>
    </row>
    <row r="121" spans="1:5" ht="12" customHeight="1" thickBot="1">
      <c r="A121" s="230" t="s">
        <v>7</v>
      </c>
      <c r="B121" s="231" t="s">
        <v>269</v>
      </c>
      <c r="C121" s="245">
        <f>+C122+C124+C126</f>
        <v>26335288</v>
      </c>
      <c r="D121" s="166">
        <f>+D122+D124+D126</f>
        <v>183857052</v>
      </c>
      <c r="E121" s="239">
        <f>+E122+E124+E126</f>
        <v>173489294</v>
      </c>
    </row>
    <row r="122" spans="1:5" ht="12" customHeight="1">
      <c r="A122" s="13" t="s">
        <v>70</v>
      </c>
      <c r="B122" s="6" t="s">
        <v>145</v>
      </c>
      <c r="C122" s="168">
        <v>21819354</v>
      </c>
      <c r="D122" s="254">
        <v>55081594</v>
      </c>
      <c r="E122" s="104">
        <v>51279670</v>
      </c>
    </row>
    <row r="123" spans="1:5" ht="12" customHeight="1">
      <c r="A123" s="13" t="s">
        <v>71</v>
      </c>
      <c r="B123" s="10" t="s">
        <v>273</v>
      </c>
      <c r="C123" s="168"/>
      <c r="D123" s="254"/>
      <c r="E123" s="104">
        <v>30526592</v>
      </c>
    </row>
    <row r="124" spans="1:5" ht="12" customHeight="1">
      <c r="A124" s="13" t="s">
        <v>72</v>
      </c>
      <c r="B124" s="10" t="s">
        <v>128</v>
      </c>
      <c r="C124" s="167">
        <v>1681000</v>
      </c>
      <c r="D124" s="255">
        <v>125940524</v>
      </c>
      <c r="E124" s="103">
        <v>122209624</v>
      </c>
    </row>
    <row r="125" spans="1:5" ht="12" customHeight="1">
      <c r="A125" s="13" t="s">
        <v>73</v>
      </c>
      <c r="B125" s="10" t="s">
        <v>274</v>
      </c>
      <c r="C125" s="167"/>
      <c r="D125" s="255"/>
      <c r="E125" s="103">
        <v>109270800</v>
      </c>
    </row>
    <row r="126" spans="1:5" ht="12" customHeight="1">
      <c r="A126" s="13" t="s">
        <v>74</v>
      </c>
      <c r="B126" s="111" t="s">
        <v>147</v>
      </c>
      <c r="C126" s="167">
        <v>2834934</v>
      </c>
      <c r="D126" s="255">
        <v>2834934</v>
      </c>
      <c r="E126" s="103"/>
    </row>
    <row r="127" spans="1:5" ht="12" customHeight="1">
      <c r="A127" s="13" t="s">
        <v>81</v>
      </c>
      <c r="B127" s="110" t="s">
        <v>334</v>
      </c>
      <c r="C127" s="167"/>
      <c r="D127" s="255"/>
      <c r="E127" s="103"/>
    </row>
    <row r="128" spans="1:5" ht="12" customHeight="1">
      <c r="A128" s="13" t="s">
        <v>83</v>
      </c>
      <c r="B128" s="175" t="s">
        <v>279</v>
      </c>
      <c r="C128" s="167"/>
      <c r="D128" s="255"/>
      <c r="E128" s="103"/>
    </row>
    <row r="129" spans="1:5" ht="15.75">
      <c r="A129" s="13" t="s">
        <v>129</v>
      </c>
      <c r="B129" s="63" t="s">
        <v>262</v>
      </c>
      <c r="C129" s="167"/>
      <c r="D129" s="255"/>
      <c r="E129" s="103"/>
    </row>
    <row r="130" spans="1:5" ht="12" customHeight="1">
      <c r="A130" s="13" t="s">
        <v>130</v>
      </c>
      <c r="B130" s="63" t="s">
        <v>278</v>
      </c>
      <c r="C130" s="167"/>
      <c r="D130" s="255"/>
      <c r="E130" s="103"/>
    </row>
    <row r="131" spans="1:5" ht="12" customHeight="1">
      <c r="A131" s="13" t="s">
        <v>131</v>
      </c>
      <c r="B131" s="63" t="s">
        <v>277</v>
      </c>
      <c r="C131" s="167"/>
      <c r="D131" s="255"/>
      <c r="E131" s="103"/>
    </row>
    <row r="132" spans="1:5" ht="12" customHeight="1">
      <c r="A132" s="13" t="s">
        <v>270</v>
      </c>
      <c r="B132" s="63" t="s">
        <v>265</v>
      </c>
      <c r="C132" s="167"/>
      <c r="D132" s="255"/>
      <c r="E132" s="103"/>
    </row>
    <row r="133" spans="1:5" ht="12" customHeight="1">
      <c r="A133" s="13" t="s">
        <v>271</v>
      </c>
      <c r="B133" s="63" t="s">
        <v>276</v>
      </c>
      <c r="C133" s="167"/>
      <c r="D133" s="255"/>
      <c r="E133" s="103"/>
    </row>
    <row r="134" spans="1:5" ht="16.5" thickBot="1">
      <c r="A134" s="11" t="s">
        <v>272</v>
      </c>
      <c r="B134" s="63" t="s">
        <v>275</v>
      </c>
      <c r="C134" s="169"/>
      <c r="D134" s="256"/>
      <c r="E134" s="105"/>
    </row>
    <row r="135" spans="1:5" ht="12" customHeight="1" thickBot="1">
      <c r="A135" s="18" t="s">
        <v>8</v>
      </c>
      <c r="B135" s="56" t="s">
        <v>352</v>
      </c>
      <c r="C135" s="166">
        <f>+C100+C121</f>
        <v>476279227</v>
      </c>
      <c r="D135" s="253">
        <f>+D100+D121</f>
        <v>761618395</v>
      </c>
      <c r="E135" s="102">
        <f>+E100+E121</f>
        <v>669399517</v>
      </c>
    </row>
    <row r="136" spans="1:5" ht="12" customHeight="1" thickBot="1">
      <c r="A136" s="18" t="s">
        <v>9</v>
      </c>
      <c r="B136" s="56" t="s">
        <v>424</v>
      </c>
      <c r="C136" s="166">
        <f>+C137+C138+C139</f>
        <v>0</v>
      </c>
      <c r="D136" s="253">
        <f>+D137+D138+D139</f>
        <v>0</v>
      </c>
      <c r="E136" s="102">
        <f>+E137+E138+E139</f>
        <v>0</v>
      </c>
    </row>
    <row r="137" spans="1:5" ht="12" customHeight="1">
      <c r="A137" s="13" t="s">
        <v>177</v>
      </c>
      <c r="B137" s="10" t="s">
        <v>360</v>
      </c>
      <c r="C137" s="167"/>
      <c r="D137" s="255"/>
      <c r="E137" s="103"/>
    </row>
    <row r="138" spans="1:5" ht="12" customHeight="1">
      <c r="A138" s="13" t="s">
        <v>178</v>
      </c>
      <c r="B138" s="10" t="s">
        <v>361</v>
      </c>
      <c r="C138" s="167"/>
      <c r="D138" s="255"/>
      <c r="E138" s="103"/>
    </row>
    <row r="139" spans="1:5" ht="12" customHeight="1" thickBot="1">
      <c r="A139" s="11" t="s">
        <v>179</v>
      </c>
      <c r="B139" s="10" t="s">
        <v>362</v>
      </c>
      <c r="C139" s="167"/>
      <c r="D139" s="255"/>
      <c r="E139" s="103"/>
    </row>
    <row r="140" spans="1:5" ht="12" customHeight="1" thickBot="1">
      <c r="A140" s="18" t="s">
        <v>10</v>
      </c>
      <c r="B140" s="56" t="s">
        <v>354</v>
      </c>
      <c r="C140" s="166">
        <f>SUM(C141:C146)</f>
        <v>0</v>
      </c>
      <c r="D140" s="253">
        <f>SUM(D141:D146)</f>
        <v>0</v>
      </c>
      <c r="E140" s="102">
        <f>SUM(E141:E146)</f>
        <v>0</v>
      </c>
    </row>
    <row r="141" spans="1:5" ht="12" customHeight="1">
      <c r="A141" s="13" t="s">
        <v>57</v>
      </c>
      <c r="B141" s="7" t="s">
        <v>363</v>
      </c>
      <c r="C141" s="167"/>
      <c r="D141" s="255"/>
      <c r="E141" s="103"/>
    </row>
    <row r="142" spans="1:5" ht="12" customHeight="1">
      <c r="A142" s="13" t="s">
        <v>58</v>
      </c>
      <c r="B142" s="7" t="s">
        <v>355</v>
      </c>
      <c r="C142" s="167"/>
      <c r="D142" s="255"/>
      <c r="E142" s="103"/>
    </row>
    <row r="143" spans="1:5" ht="12" customHeight="1">
      <c r="A143" s="13" t="s">
        <v>59</v>
      </c>
      <c r="B143" s="7" t="s">
        <v>356</v>
      </c>
      <c r="C143" s="167"/>
      <c r="D143" s="255"/>
      <c r="E143" s="103"/>
    </row>
    <row r="144" spans="1:5" ht="12" customHeight="1">
      <c r="A144" s="13" t="s">
        <v>116</v>
      </c>
      <c r="B144" s="7" t="s">
        <v>357</v>
      </c>
      <c r="C144" s="167"/>
      <c r="D144" s="255"/>
      <c r="E144" s="103"/>
    </row>
    <row r="145" spans="1:5" ht="12" customHeight="1">
      <c r="A145" s="13" t="s">
        <v>117</v>
      </c>
      <c r="B145" s="7" t="s">
        <v>358</v>
      </c>
      <c r="C145" s="167"/>
      <c r="D145" s="255"/>
      <c r="E145" s="103"/>
    </row>
    <row r="146" spans="1:5" ht="12" customHeight="1" thickBot="1">
      <c r="A146" s="16" t="s">
        <v>118</v>
      </c>
      <c r="B146" s="379" t="s">
        <v>359</v>
      </c>
      <c r="C146" s="244"/>
      <c r="D146" s="320"/>
      <c r="E146" s="238"/>
    </row>
    <row r="147" spans="1:5" ht="12" customHeight="1" thickBot="1">
      <c r="A147" s="18" t="s">
        <v>11</v>
      </c>
      <c r="B147" s="56" t="s">
        <v>367</v>
      </c>
      <c r="C147" s="172">
        <f>+C148+C149+C150+C151</f>
        <v>157271416</v>
      </c>
      <c r="D147" s="257">
        <f>+D148+D149+D150+D151</f>
        <v>203615251</v>
      </c>
      <c r="E147" s="208">
        <f>+E148+E149+E150+E151</f>
        <v>501027997</v>
      </c>
    </row>
    <row r="148" spans="1:5" ht="12" customHeight="1">
      <c r="A148" s="13" t="s">
        <v>60</v>
      </c>
      <c r="B148" s="7" t="s">
        <v>280</v>
      </c>
      <c r="C148" s="167"/>
      <c r="D148" s="255"/>
      <c r="E148" s="103"/>
    </row>
    <row r="149" spans="1:5" ht="12" customHeight="1">
      <c r="A149" s="13" t="s">
        <v>61</v>
      </c>
      <c r="B149" s="7" t="s">
        <v>281</v>
      </c>
      <c r="C149" s="167"/>
      <c r="D149" s="255">
        <v>37606457</v>
      </c>
      <c r="E149" s="103">
        <v>37606457</v>
      </c>
    </row>
    <row r="150" spans="1:5" ht="12" customHeight="1">
      <c r="A150" s="13" t="s">
        <v>197</v>
      </c>
      <c r="B150" s="7" t="s">
        <v>368</v>
      </c>
      <c r="C150" s="167"/>
      <c r="D150" s="255"/>
      <c r="E150" s="103">
        <v>300000000</v>
      </c>
    </row>
    <row r="151" spans="1:5" ht="12" customHeight="1" thickBot="1">
      <c r="A151" s="11" t="s">
        <v>198</v>
      </c>
      <c r="B151" s="5" t="s">
        <v>901</v>
      </c>
      <c r="C151" s="167">
        <v>157271416</v>
      </c>
      <c r="D151" s="255">
        <v>166008794</v>
      </c>
      <c r="E151" s="103">
        <v>163421540</v>
      </c>
    </row>
    <row r="152" spans="1:5" ht="12" customHeight="1" thickBot="1">
      <c r="A152" s="18" t="s">
        <v>12</v>
      </c>
      <c r="B152" s="56" t="s">
        <v>369</v>
      </c>
      <c r="C152" s="246">
        <f>SUM(C153:C157)</f>
        <v>0</v>
      </c>
      <c r="D152" s="258">
        <f>SUM(D153:D157)</f>
        <v>0</v>
      </c>
      <c r="E152" s="240">
        <f>SUM(E153:E157)</f>
        <v>0</v>
      </c>
    </row>
    <row r="153" spans="1:5" ht="12" customHeight="1">
      <c r="A153" s="13" t="s">
        <v>62</v>
      </c>
      <c r="B153" s="7" t="s">
        <v>364</v>
      </c>
      <c r="C153" s="167"/>
      <c r="D153" s="255"/>
      <c r="E153" s="103"/>
    </row>
    <row r="154" spans="1:5" ht="12" customHeight="1">
      <c r="A154" s="13" t="s">
        <v>63</v>
      </c>
      <c r="B154" s="7" t="s">
        <v>371</v>
      </c>
      <c r="C154" s="167"/>
      <c r="D154" s="255"/>
      <c r="E154" s="103"/>
    </row>
    <row r="155" spans="1:5" ht="12" customHeight="1">
      <c r="A155" s="13" t="s">
        <v>209</v>
      </c>
      <c r="B155" s="7" t="s">
        <v>366</v>
      </c>
      <c r="C155" s="167"/>
      <c r="D155" s="255"/>
      <c r="E155" s="103"/>
    </row>
    <row r="156" spans="1:5" ht="12" customHeight="1">
      <c r="A156" s="13" t="s">
        <v>210</v>
      </c>
      <c r="B156" s="7" t="s">
        <v>372</v>
      </c>
      <c r="C156" s="167"/>
      <c r="D156" s="255"/>
      <c r="E156" s="103"/>
    </row>
    <row r="157" spans="1:5" ht="12" customHeight="1" thickBot="1">
      <c r="A157" s="13" t="s">
        <v>370</v>
      </c>
      <c r="B157" s="7" t="s">
        <v>373</v>
      </c>
      <c r="C157" s="167"/>
      <c r="D157" s="255"/>
      <c r="E157" s="103"/>
    </row>
    <row r="158" spans="1:5" ht="12" customHeight="1" thickBot="1">
      <c r="A158" s="18" t="s">
        <v>13</v>
      </c>
      <c r="B158" s="56" t="s">
        <v>374</v>
      </c>
      <c r="C158" s="247"/>
      <c r="D158" s="259"/>
      <c r="E158" s="241"/>
    </row>
    <row r="159" spans="1:5" ht="12" customHeight="1" thickBot="1">
      <c r="A159" s="18" t="s">
        <v>14</v>
      </c>
      <c r="B159" s="56" t="s">
        <v>375</v>
      </c>
      <c r="C159" s="247"/>
      <c r="D159" s="259"/>
      <c r="E159" s="241"/>
    </row>
    <row r="160" spans="1:9" ht="15" customHeight="1" thickBot="1">
      <c r="A160" s="18" t="s">
        <v>15</v>
      </c>
      <c r="B160" s="56" t="s">
        <v>377</v>
      </c>
      <c r="C160" s="248">
        <f>+C136+C140+C147+C152+C158+C159</f>
        <v>157271416</v>
      </c>
      <c r="D160" s="260">
        <f>+D136+D140+D147+D152+D158+D159</f>
        <v>203615251</v>
      </c>
      <c r="E160" s="242">
        <f>+E136+E140+E147+E152+E158+E159</f>
        <v>501027997</v>
      </c>
      <c r="F160" s="189"/>
      <c r="G160" s="190"/>
      <c r="H160" s="190"/>
      <c r="I160" s="190"/>
    </row>
    <row r="161" spans="1:5" s="178" customFormat="1" ht="12.75" customHeight="1" thickBot="1">
      <c r="A161" s="112" t="s">
        <v>16</v>
      </c>
      <c r="B161" s="153" t="s">
        <v>376</v>
      </c>
      <c r="C161" s="248">
        <f>+C135+C160</f>
        <v>633550643</v>
      </c>
      <c r="D161" s="260">
        <f>+D135+D160</f>
        <v>965233646</v>
      </c>
      <c r="E161" s="242">
        <f>+E135+E160</f>
        <v>1170427514</v>
      </c>
    </row>
    <row r="162" spans="3:4" ht="15.75">
      <c r="C162" s="726">
        <f>C93-C161</f>
        <v>0</v>
      </c>
      <c r="D162" s="726">
        <f>D93-D161</f>
        <v>0</v>
      </c>
    </row>
    <row r="163" spans="1:5" ht="15.75">
      <c r="A163" s="808" t="s">
        <v>282</v>
      </c>
      <c r="B163" s="808"/>
      <c r="C163" s="808"/>
      <c r="D163" s="808"/>
      <c r="E163" s="808"/>
    </row>
    <row r="164" spans="1:5" ht="15" customHeight="1" thickBot="1">
      <c r="A164" s="800" t="s">
        <v>104</v>
      </c>
      <c r="B164" s="800"/>
      <c r="C164" s="114"/>
      <c r="E164" s="114" t="str">
        <f>E96</f>
        <v> Forintban!</v>
      </c>
    </row>
    <row r="165" spans="1:5" ht="25.5" customHeight="1" thickBot="1">
      <c r="A165" s="18">
        <v>1</v>
      </c>
      <c r="B165" s="23" t="s">
        <v>378</v>
      </c>
      <c r="C165" s="252">
        <f>+C68-C135</f>
        <v>60076119</v>
      </c>
      <c r="D165" s="166">
        <f>+D68-D135</f>
        <v>-146217323</v>
      </c>
      <c r="E165" s="102">
        <f>+E68-E135</f>
        <v>-40107200</v>
      </c>
    </row>
    <row r="166" spans="1:5" ht="32.25" customHeight="1" thickBot="1">
      <c r="A166" s="18" t="s">
        <v>7</v>
      </c>
      <c r="B166" s="23" t="s">
        <v>384</v>
      </c>
      <c r="C166" s="166">
        <f>+C92-C160</f>
        <v>-60076119</v>
      </c>
      <c r="D166" s="166">
        <f>+D92-D160</f>
        <v>146217323</v>
      </c>
      <c r="E166" s="102">
        <f>+E92-E160</f>
        <v>388983020</v>
      </c>
    </row>
  </sheetData>
  <sheetProtection/>
  <mergeCells count="16">
    <mergeCell ref="B1:E1"/>
    <mergeCell ref="A2:E2"/>
    <mergeCell ref="A3:E3"/>
    <mergeCell ref="A4:E4"/>
    <mergeCell ref="A6:E6"/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</mergeCells>
  <printOptions horizontalCentered="1"/>
  <pageMargins left="0.6692913385826772" right="0.6692913385826772" top="0.8661417322834646" bottom="0.8661417322834646" header="0" footer="0"/>
  <pageSetup fitToHeight="2" orientation="portrait" paperSize="9" scale="72" r:id="rId1"/>
  <rowBreaks count="2" manualBreakCount="2">
    <brk id="68" max="4" man="1"/>
    <brk id="14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6"/>
  <sheetViews>
    <sheetView zoomScale="120" zoomScaleNormal="120" zoomScaleSheetLayoutView="100" workbookViewId="0" topLeftCell="A1">
      <selection activeCell="E17" sqref="E17"/>
    </sheetView>
  </sheetViews>
  <sheetFormatPr defaultColWidth="9.00390625" defaultRowHeight="12.75"/>
  <cols>
    <col min="1" max="1" width="9.50390625" style="154" customWidth="1"/>
    <col min="2" max="2" width="65.875" style="154" customWidth="1"/>
    <col min="3" max="3" width="17.875" style="155" customWidth="1"/>
    <col min="4" max="5" width="17.875" style="176" customWidth="1"/>
    <col min="6" max="16384" width="9.375" style="176" customWidth="1"/>
  </cols>
  <sheetData>
    <row r="1" spans="1:5" ht="15.75">
      <c r="A1" s="380"/>
      <c r="B1" s="795" t="str">
        <f>CONCATENATE("1.3. melléklet ",Z_ALAPADATOK!A7," ",Z_ALAPADATOK!B7," ",Z_ALAPADATOK!C7," ",Z_ALAPADATOK!D7," ",Z_ALAPADATOK!E7," ",Z_ALAPADATOK!F7," ",Z_ALAPADATOK!G7," ",Z_ALAPADATOK!H7)</f>
        <v>1.3. melléklet a 2 / 2019. ( IV.26. ) önkormányzati rendelethez</v>
      </c>
      <c r="C1" s="796"/>
      <c r="D1" s="796"/>
      <c r="E1" s="796"/>
    </row>
    <row r="2" spans="1:5" ht="15.75">
      <c r="A2" s="797" t="str">
        <f>CONCATENATE(Z_ALAPADATOK!A3)</f>
        <v>Kállósemjén Nagyközség Önkormányzata</v>
      </c>
      <c r="B2" s="798"/>
      <c r="C2" s="798"/>
      <c r="D2" s="798"/>
      <c r="E2" s="798"/>
    </row>
    <row r="3" spans="1:5" ht="15.75">
      <c r="A3" s="797" t="s">
        <v>878</v>
      </c>
      <c r="B3" s="797"/>
      <c r="C3" s="799"/>
      <c r="D3" s="797"/>
      <c r="E3" s="797"/>
    </row>
    <row r="4" spans="1:5" ht="19.5" customHeight="1">
      <c r="A4" s="797" t="s">
        <v>880</v>
      </c>
      <c r="B4" s="797"/>
      <c r="C4" s="799"/>
      <c r="D4" s="797"/>
      <c r="E4" s="797"/>
    </row>
    <row r="5" spans="1:5" ht="15.75">
      <c r="A5" s="380"/>
      <c r="B5" s="380"/>
      <c r="C5" s="381"/>
      <c r="D5" s="382"/>
      <c r="E5" s="382"/>
    </row>
    <row r="6" spans="1:5" ht="15.75" customHeight="1">
      <c r="A6" s="809" t="s">
        <v>3</v>
      </c>
      <c r="B6" s="809"/>
      <c r="C6" s="809"/>
      <c r="D6" s="809"/>
      <c r="E6" s="809"/>
    </row>
    <row r="7" spans="1:5" ht="15.75" customHeight="1" thickBot="1">
      <c r="A7" s="811" t="s">
        <v>102</v>
      </c>
      <c r="B7" s="811"/>
      <c r="C7" s="383"/>
      <c r="D7" s="382"/>
      <c r="E7" s="383" t="str">
        <f>CONCATENATE('Z_1.2.sz.mell.'!E7)</f>
        <v> Forintban!</v>
      </c>
    </row>
    <row r="8" spans="1:5" ht="15.75">
      <c r="A8" s="801" t="s">
        <v>52</v>
      </c>
      <c r="B8" s="803" t="s">
        <v>5</v>
      </c>
      <c r="C8" s="805" t="str">
        <f>+CONCATENATE(LEFT(Z_ÖSSZEFÜGGÉSEK!A6,4),". évi")</f>
        <v>2018. évi</v>
      </c>
      <c r="D8" s="806"/>
      <c r="E8" s="807"/>
    </row>
    <row r="9" spans="1:5" ht="24.75" thickBot="1">
      <c r="A9" s="802"/>
      <c r="B9" s="804"/>
      <c r="C9" s="250" t="s">
        <v>421</v>
      </c>
      <c r="D9" s="249" t="s">
        <v>422</v>
      </c>
      <c r="E9" s="369" t="str">
        <f>CONCATENATE('Z_1.2.sz.mell.'!E9)</f>
        <v>2018. XII. 31.
teljesítés</v>
      </c>
    </row>
    <row r="10" spans="1:5" s="177" customFormat="1" ht="12" customHeight="1" thickBot="1">
      <c r="A10" s="173" t="s">
        <v>388</v>
      </c>
      <c r="B10" s="174" t="s">
        <v>389</v>
      </c>
      <c r="C10" s="174" t="s">
        <v>390</v>
      </c>
      <c r="D10" s="174" t="s">
        <v>392</v>
      </c>
      <c r="E10" s="251" t="s">
        <v>391</v>
      </c>
    </row>
    <row r="11" spans="1:5" s="178" customFormat="1" ht="12" customHeight="1" thickBot="1">
      <c r="A11" s="18" t="s">
        <v>6</v>
      </c>
      <c r="B11" s="19" t="s">
        <v>162</v>
      </c>
      <c r="C11" s="166">
        <f>+C12+C13+C14+C15+C16+C17</f>
        <v>0</v>
      </c>
      <c r="D11" s="166">
        <f>+D12+D13+D14+D15+D16+D17</f>
        <v>0</v>
      </c>
      <c r="E11" s="102">
        <f>+E12+E13+E14+E15+E16+E17</f>
        <v>5442680</v>
      </c>
    </row>
    <row r="12" spans="1:5" s="178" customFormat="1" ht="12" customHeight="1">
      <c r="A12" s="13" t="s">
        <v>64</v>
      </c>
      <c r="B12" s="179" t="s">
        <v>163</v>
      </c>
      <c r="C12" s="168"/>
      <c r="D12" s="168"/>
      <c r="E12" s="104"/>
    </row>
    <row r="13" spans="1:5" s="178" customFormat="1" ht="12" customHeight="1">
      <c r="A13" s="12" t="s">
        <v>65</v>
      </c>
      <c r="B13" s="180" t="s">
        <v>164</v>
      </c>
      <c r="C13" s="167"/>
      <c r="D13" s="167"/>
      <c r="E13" s="103"/>
    </row>
    <row r="14" spans="1:5" s="178" customFormat="1" ht="12" customHeight="1">
      <c r="A14" s="12" t="s">
        <v>66</v>
      </c>
      <c r="B14" s="180" t="s">
        <v>165</v>
      </c>
      <c r="C14" s="167"/>
      <c r="D14" s="167"/>
      <c r="E14" s="103"/>
    </row>
    <row r="15" spans="1:5" s="178" customFormat="1" ht="12" customHeight="1">
      <c r="A15" s="12" t="s">
        <v>67</v>
      </c>
      <c r="B15" s="180" t="s">
        <v>166</v>
      </c>
      <c r="C15" s="167"/>
      <c r="D15" s="167"/>
      <c r="E15" s="103"/>
    </row>
    <row r="16" spans="1:5" s="178" customFormat="1" ht="12" customHeight="1">
      <c r="A16" s="12" t="s">
        <v>99</v>
      </c>
      <c r="B16" s="110" t="s">
        <v>336</v>
      </c>
      <c r="C16" s="167"/>
      <c r="D16" s="167"/>
      <c r="E16" s="103">
        <v>5442680</v>
      </c>
    </row>
    <row r="17" spans="1:5" s="178" customFormat="1" ht="12" customHeight="1" thickBot="1">
      <c r="A17" s="14" t="s">
        <v>68</v>
      </c>
      <c r="B17" s="111" t="s">
        <v>337</v>
      </c>
      <c r="C17" s="167"/>
      <c r="D17" s="167"/>
      <c r="E17" s="103"/>
    </row>
    <row r="18" spans="1:5" s="178" customFormat="1" ht="12" customHeight="1" thickBot="1">
      <c r="A18" s="18" t="s">
        <v>7</v>
      </c>
      <c r="B18" s="109" t="s">
        <v>167</v>
      </c>
      <c r="C18" s="166">
        <f>+C19+C20+C21+C22+C23</f>
        <v>0</v>
      </c>
      <c r="D18" s="166">
        <f>+D19+D20+D21+D22+D23</f>
        <v>0</v>
      </c>
      <c r="E18" s="102">
        <f>+E19+E20+E21+E22+E23</f>
        <v>0</v>
      </c>
    </row>
    <row r="19" spans="1:5" s="178" customFormat="1" ht="12" customHeight="1">
      <c r="A19" s="13" t="s">
        <v>70</v>
      </c>
      <c r="B19" s="179" t="s">
        <v>168</v>
      </c>
      <c r="C19" s="168"/>
      <c r="D19" s="168"/>
      <c r="E19" s="104"/>
    </row>
    <row r="20" spans="1:5" s="178" customFormat="1" ht="12" customHeight="1">
      <c r="A20" s="12" t="s">
        <v>71</v>
      </c>
      <c r="B20" s="180" t="s">
        <v>169</v>
      </c>
      <c r="C20" s="167"/>
      <c r="D20" s="167"/>
      <c r="E20" s="103"/>
    </row>
    <row r="21" spans="1:5" s="178" customFormat="1" ht="12" customHeight="1">
      <c r="A21" s="12" t="s">
        <v>72</v>
      </c>
      <c r="B21" s="180" t="s">
        <v>328</v>
      </c>
      <c r="C21" s="167"/>
      <c r="D21" s="167"/>
      <c r="E21" s="103"/>
    </row>
    <row r="22" spans="1:5" s="178" customFormat="1" ht="12" customHeight="1">
      <c r="A22" s="12" t="s">
        <v>73</v>
      </c>
      <c r="B22" s="180" t="s">
        <v>329</v>
      </c>
      <c r="C22" s="167"/>
      <c r="D22" s="167"/>
      <c r="E22" s="103"/>
    </row>
    <row r="23" spans="1:5" s="178" customFormat="1" ht="12" customHeight="1">
      <c r="A23" s="12" t="s">
        <v>74</v>
      </c>
      <c r="B23" s="180" t="s">
        <v>170</v>
      </c>
      <c r="C23" s="167"/>
      <c r="D23" s="167"/>
      <c r="E23" s="103"/>
    </row>
    <row r="24" spans="1:5" s="178" customFormat="1" ht="12" customHeight="1" thickBot="1">
      <c r="A24" s="14" t="s">
        <v>81</v>
      </c>
      <c r="B24" s="111" t="s">
        <v>171</v>
      </c>
      <c r="C24" s="169"/>
      <c r="D24" s="169"/>
      <c r="E24" s="105"/>
    </row>
    <row r="25" spans="1:5" s="178" customFormat="1" ht="12" customHeight="1" thickBot="1">
      <c r="A25" s="18" t="s">
        <v>8</v>
      </c>
      <c r="B25" s="19" t="s">
        <v>172</v>
      </c>
      <c r="C25" s="166">
        <f>+C26+C27+C28+C29+C30</f>
        <v>0</v>
      </c>
      <c r="D25" s="166">
        <f>+D26+D27+D28+D29+D30</f>
        <v>0</v>
      </c>
      <c r="E25" s="102">
        <f>+E26+E27+E28+E29+E30</f>
        <v>0</v>
      </c>
    </row>
    <row r="26" spans="1:5" s="178" customFormat="1" ht="12" customHeight="1">
      <c r="A26" s="13" t="s">
        <v>53</v>
      </c>
      <c r="B26" s="179" t="s">
        <v>173</v>
      </c>
      <c r="C26" s="168"/>
      <c r="D26" s="168"/>
      <c r="E26" s="104"/>
    </row>
    <row r="27" spans="1:5" s="178" customFormat="1" ht="12" customHeight="1">
      <c r="A27" s="12" t="s">
        <v>54</v>
      </c>
      <c r="B27" s="180" t="s">
        <v>174</v>
      </c>
      <c r="C27" s="167"/>
      <c r="D27" s="167"/>
      <c r="E27" s="103"/>
    </row>
    <row r="28" spans="1:5" s="178" customFormat="1" ht="12" customHeight="1">
      <c r="A28" s="12" t="s">
        <v>55</v>
      </c>
      <c r="B28" s="180" t="s">
        <v>330</v>
      </c>
      <c r="C28" s="167"/>
      <c r="D28" s="167"/>
      <c r="E28" s="103"/>
    </row>
    <row r="29" spans="1:5" s="178" customFormat="1" ht="12" customHeight="1">
      <c r="A29" s="12" t="s">
        <v>56</v>
      </c>
      <c r="B29" s="180" t="s">
        <v>331</v>
      </c>
      <c r="C29" s="167"/>
      <c r="D29" s="167"/>
      <c r="E29" s="103"/>
    </row>
    <row r="30" spans="1:5" s="178" customFormat="1" ht="12" customHeight="1">
      <c r="A30" s="12" t="s">
        <v>112</v>
      </c>
      <c r="B30" s="180" t="s">
        <v>175</v>
      </c>
      <c r="C30" s="167"/>
      <c r="D30" s="167"/>
      <c r="E30" s="103"/>
    </row>
    <row r="31" spans="1:5" s="178" customFormat="1" ht="12" customHeight="1" thickBot="1">
      <c r="A31" s="14" t="s">
        <v>113</v>
      </c>
      <c r="B31" s="181" t="s">
        <v>176</v>
      </c>
      <c r="C31" s="169"/>
      <c r="D31" s="169"/>
      <c r="E31" s="105"/>
    </row>
    <row r="32" spans="1:5" s="178" customFormat="1" ht="12" customHeight="1" thickBot="1">
      <c r="A32" s="18" t="s">
        <v>114</v>
      </c>
      <c r="B32" s="19" t="s">
        <v>487</v>
      </c>
      <c r="C32" s="172">
        <f>SUM(C33:C39)</f>
        <v>0</v>
      </c>
      <c r="D32" s="172">
        <f>SUM(D33:D39)</f>
        <v>0</v>
      </c>
      <c r="E32" s="208">
        <f>SUM(E33:E39)</f>
        <v>0</v>
      </c>
    </row>
    <row r="33" spans="1:5" s="178" customFormat="1" ht="12" customHeight="1">
      <c r="A33" s="13" t="s">
        <v>177</v>
      </c>
      <c r="B33" s="179" t="s">
        <v>488</v>
      </c>
      <c r="C33" s="168">
        <f>+C34+C35+C36</f>
        <v>0</v>
      </c>
      <c r="D33" s="168">
        <f>+D34+D35+D36</f>
        <v>0</v>
      </c>
      <c r="E33" s="104">
        <f>+E34+E35+E36</f>
        <v>0</v>
      </c>
    </row>
    <row r="34" spans="1:5" s="178" customFormat="1" ht="12" customHeight="1">
      <c r="A34" s="12" t="s">
        <v>178</v>
      </c>
      <c r="B34" s="180" t="s">
        <v>489</v>
      </c>
      <c r="C34" s="167"/>
      <c r="D34" s="167"/>
      <c r="E34" s="103"/>
    </row>
    <row r="35" spans="1:5" s="178" customFormat="1" ht="12" customHeight="1">
      <c r="A35" s="12" t="s">
        <v>179</v>
      </c>
      <c r="B35" s="180" t="s">
        <v>490</v>
      </c>
      <c r="C35" s="167"/>
      <c r="D35" s="167"/>
      <c r="E35" s="103"/>
    </row>
    <row r="36" spans="1:5" s="178" customFormat="1" ht="12" customHeight="1">
      <c r="A36" s="12" t="s">
        <v>180</v>
      </c>
      <c r="B36" s="180" t="s">
        <v>491</v>
      </c>
      <c r="C36" s="167"/>
      <c r="D36" s="167"/>
      <c r="E36" s="103"/>
    </row>
    <row r="37" spans="1:5" s="178" customFormat="1" ht="12" customHeight="1">
      <c r="A37" s="12" t="s">
        <v>492</v>
      </c>
      <c r="B37" s="180" t="s">
        <v>181</v>
      </c>
      <c r="C37" s="167"/>
      <c r="D37" s="167"/>
      <c r="E37" s="103"/>
    </row>
    <row r="38" spans="1:5" s="178" customFormat="1" ht="12" customHeight="1">
      <c r="A38" s="12" t="s">
        <v>493</v>
      </c>
      <c r="B38" s="180" t="s">
        <v>182</v>
      </c>
      <c r="C38" s="167"/>
      <c r="D38" s="167"/>
      <c r="E38" s="103"/>
    </row>
    <row r="39" spans="1:5" s="178" customFormat="1" ht="12" customHeight="1" thickBot="1">
      <c r="A39" s="14" t="s">
        <v>494</v>
      </c>
      <c r="B39" s="329" t="s">
        <v>183</v>
      </c>
      <c r="C39" s="169"/>
      <c r="D39" s="169"/>
      <c r="E39" s="105"/>
    </row>
    <row r="40" spans="1:5" s="178" customFormat="1" ht="12" customHeight="1" thickBot="1">
      <c r="A40" s="18" t="s">
        <v>10</v>
      </c>
      <c r="B40" s="19" t="s">
        <v>338</v>
      </c>
      <c r="C40" s="166">
        <f>SUM(C41:C51)</f>
        <v>0</v>
      </c>
      <c r="D40" s="166">
        <f>SUM(D41:D51)</f>
        <v>0</v>
      </c>
      <c r="E40" s="102">
        <f>SUM(E41:E51)</f>
        <v>0</v>
      </c>
    </row>
    <row r="41" spans="1:5" s="178" customFormat="1" ht="12" customHeight="1">
      <c r="A41" s="13" t="s">
        <v>57</v>
      </c>
      <c r="B41" s="179" t="s">
        <v>186</v>
      </c>
      <c r="C41" s="168"/>
      <c r="D41" s="168"/>
      <c r="E41" s="104"/>
    </row>
    <row r="42" spans="1:5" s="178" customFormat="1" ht="12" customHeight="1">
      <c r="A42" s="12" t="s">
        <v>58</v>
      </c>
      <c r="B42" s="180" t="s">
        <v>187</v>
      </c>
      <c r="C42" s="167"/>
      <c r="D42" s="167"/>
      <c r="E42" s="103"/>
    </row>
    <row r="43" spans="1:5" s="178" customFormat="1" ht="12" customHeight="1">
      <c r="A43" s="12" t="s">
        <v>59</v>
      </c>
      <c r="B43" s="180" t="s">
        <v>188</v>
      </c>
      <c r="C43" s="167"/>
      <c r="D43" s="167"/>
      <c r="E43" s="103"/>
    </row>
    <row r="44" spans="1:5" s="178" customFormat="1" ht="12" customHeight="1">
      <c r="A44" s="12" t="s">
        <v>116</v>
      </c>
      <c r="B44" s="180" t="s">
        <v>189</v>
      </c>
      <c r="C44" s="167"/>
      <c r="D44" s="167"/>
      <c r="E44" s="103"/>
    </row>
    <row r="45" spans="1:5" s="178" customFormat="1" ht="12" customHeight="1">
      <c r="A45" s="12" t="s">
        <v>117</v>
      </c>
      <c r="B45" s="180" t="s">
        <v>190</v>
      </c>
      <c r="C45" s="167"/>
      <c r="D45" s="167"/>
      <c r="E45" s="103"/>
    </row>
    <row r="46" spans="1:5" s="178" customFormat="1" ht="12" customHeight="1">
      <c r="A46" s="12" t="s">
        <v>118</v>
      </c>
      <c r="B46" s="180" t="s">
        <v>191</v>
      </c>
      <c r="C46" s="167"/>
      <c r="D46" s="167"/>
      <c r="E46" s="103"/>
    </row>
    <row r="47" spans="1:5" s="178" customFormat="1" ht="12" customHeight="1">
      <c r="A47" s="12" t="s">
        <v>119</v>
      </c>
      <c r="B47" s="180" t="s">
        <v>192</v>
      </c>
      <c r="C47" s="167"/>
      <c r="D47" s="167"/>
      <c r="E47" s="103"/>
    </row>
    <row r="48" spans="1:5" s="178" customFormat="1" ht="12" customHeight="1">
      <c r="A48" s="12" t="s">
        <v>120</v>
      </c>
      <c r="B48" s="180" t="s">
        <v>495</v>
      </c>
      <c r="C48" s="167"/>
      <c r="D48" s="167"/>
      <c r="E48" s="103"/>
    </row>
    <row r="49" spans="1:5" s="178" customFormat="1" ht="12" customHeight="1">
      <c r="A49" s="12" t="s">
        <v>184</v>
      </c>
      <c r="B49" s="180" t="s">
        <v>194</v>
      </c>
      <c r="C49" s="170"/>
      <c r="D49" s="170"/>
      <c r="E49" s="106"/>
    </row>
    <row r="50" spans="1:5" s="178" customFormat="1" ht="12" customHeight="1">
      <c r="A50" s="14" t="s">
        <v>185</v>
      </c>
      <c r="B50" s="181" t="s">
        <v>340</v>
      </c>
      <c r="C50" s="171"/>
      <c r="D50" s="171"/>
      <c r="E50" s="107"/>
    </row>
    <row r="51" spans="1:5" s="178" customFormat="1" ht="12" customHeight="1" thickBot="1">
      <c r="A51" s="14" t="s">
        <v>339</v>
      </c>
      <c r="B51" s="111" t="s">
        <v>195</v>
      </c>
      <c r="C51" s="171"/>
      <c r="D51" s="171"/>
      <c r="E51" s="107"/>
    </row>
    <row r="52" spans="1:5" s="178" customFormat="1" ht="12" customHeight="1" thickBot="1">
      <c r="A52" s="18" t="s">
        <v>11</v>
      </c>
      <c r="B52" s="19" t="s">
        <v>196</v>
      </c>
      <c r="C52" s="166">
        <f>SUM(C53:C57)</f>
        <v>0</v>
      </c>
      <c r="D52" s="166">
        <f>SUM(D53:D57)</f>
        <v>0</v>
      </c>
      <c r="E52" s="102">
        <f>SUM(E53:E57)</f>
        <v>0</v>
      </c>
    </row>
    <row r="53" spans="1:5" s="178" customFormat="1" ht="12" customHeight="1">
      <c r="A53" s="13" t="s">
        <v>60</v>
      </c>
      <c r="B53" s="179" t="s">
        <v>200</v>
      </c>
      <c r="C53" s="219"/>
      <c r="D53" s="219"/>
      <c r="E53" s="108"/>
    </row>
    <row r="54" spans="1:5" s="178" customFormat="1" ht="12" customHeight="1">
      <c r="A54" s="12" t="s">
        <v>61</v>
      </c>
      <c r="B54" s="180" t="s">
        <v>201</v>
      </c>
      <c r="C54" s="170"/>
      <c r="D54" s="170"/>
      <c r="E54" s="106"/>
    </row>
    <row r="55" spans="1:5" s="178" customFormat="1" ht="12" customHeight="1">
      <c r="A55" s="12" t="s">
        <v>197</v>
      </c>
      <c r="B55" s="180" t="s">
        <v>202</v>
      </c>
      <c r="C55" s="170"/>
      <c r="D55" s="170"/>
      <c r="E55" s="106"/>
    </row>
    <row r="56" spans="1:5" s="178" customFormat="1" ht="12" customHeight="1">
      <c r="A56" s="12" t="s">
        <v>198</v>
      </c>
      <c r="B56" s="180" t="s">
        <v>203</v>
      </c>
      <c r="C56" s="170"/>
      <c r="D56" s="170"/>
      <c r="E56" s="106"/>
    </row>
    <row r="57" spans="1:5" s="178" customFormat="1" ht="12" customHeight="1" thickBot="1">
      <c r="A57" s="14" t="s">
        <v>199</v>
      </c>
      <c r="B57" s="111" t="s">
        <v>204</v>
      </c>
      <c r="C57" s="171"/>
      <c r="D57" s="171"/>
      <c r="E57" s="107"/>
    </row>
    <row r="58" spans="1:5" s="178" customFormat="1" ht="12" customHeight="1" thickBot="1">
      <c r="A58" s="18" t="s">
        <v>121</v>
      </c>
      <c r="B58" s="19" t="s">
        <v>205</v>
      </c>
      <c r="C58" s="166">
        <f>SUM(C59:C61)</f>
        <v>0</v>
      </c>
      <c r="D58" s="166">
        <f>SUM(D59:D61)</f>
        <v>0</v>
      </c>
      <c r="E58" s="102">
        <f>SUM(E59:E61)</f>
        <v>0</v>
      </c>
    </row>
    <row r="59" spans="1:5" s="178" customFormat="1" ht="12" customHeight="1">
      <c r="A59" s="13" t="s">
        <v>62</v>
      </c>
      <c r="B59" s="179" t="s">
        <v>206</v>
      </c>
      <c r="C59" s="168"/>
      <c r="D59" s="168"/>
      <c r="E59" s="104"/>
    </row>
    <row r="60" spans="1:5" s="178" customFormat="1" ht="12" customHeight="1">
      <c r="A60" s="12" t="s">
        <v>63</v>
      </c>
      <c r="B60" s="180" t="s">
        <v>332</v>
      </c>
      <c r="C60" s="167"/>
      <c r="D60" s="167"/>
      <c r="E60" s="103"/>
    </row>
    <row r="61" spans="1:5" s="178" customFormat="1" ht="12" customHeight="1">
      <c r="A61" s="12" t="s">
        <v>209</v>
      </c>
      <c r="B61" s="180" t="s">
        <v>207</v>
      </c>
      <c r="C61" s="167"/>
      <c r="D61" s="167"/>
      <c r="E61" s="103"/>
    </row>
    <row r="62" spans="1:5" s="178" customFormat="1" ht="12" customHeight="1" thickBot="1">
      <c r="A62" s="14" t="s">
        <v>210</v>
      </c>
      <c r="B62" s="111" t="s">
        <v>208</v>
      </c>
      <c r="C62" s="169"/>
      <c r="D62" s="169"/>
      <c r="E62" s="105"/>
    </row>
    <row r="63" spans="1:5" s="178" customFormat="1" ht="12" customHeight="1" thickBot="1">
      <c r="A63" s="18" t="s">
        <v>13</v>
      </c>
      <c r="B63" s="109" t="s">
        <v>211</v>
      </c>
      <c r="C63" s="166">
        <f>SUM(C64:C66)</f>
        <v>0</v>
      </c>
      <c r="D63" s="166">
        <f>SUM(D64:D66)</f>
        <v>0</v>
      </c>
      <c r="E63" s="102">
        <f>SUM(E64:E66)</f>
        <v>0</v>
      </c>
    </row>
    <row r="64" spans="1:5" s="178" customFormat="1" ht="12" customHeight="1">
      <c r="A64" s="13" t="s">
        <v>122</v>
      </c>
      <c r="B64" s="179" t="s">
        <v>213</v>
      </c>
      <c r="C64" s="170"/>
      <c r="D64" s="170"/>
      <c r="E64" s="106"/>
    </row>
    <row r="65" spans="1:5" s="178" customFormat="1" ht="12" customHeight="1">
      <c r="A65" s="12" t="s">
        <v>123</v>
      </c>
      <c r="B65" s="180" t="s">
        <v>333</v>
      </c>
      <c r="C65" s="170"/>
      <c r="D65" s="170"/>
      <c r="E65" s="106"/>
    </row>
    <row r="66" spans="1:5" s="178" customFormat="1" ht="12" customHeight="1">
      <c r="A66" s="12" t="s">
        <v>146</v>
      </c>
      <c r="B66" s="180" t="s">
        <v>214</v>
      </c>
      <c r="C66" s="170"/>
      <c r="D66" s="170"/>
      <c r="E66" s="106"/>
    </row>
    <row r="67" spans="1:5" s="178" customFormat="1" ht="12" customHeight="1" thickBot="1">
      <c r="A67" s="14" t="s">
        <v>212</v>
      </c>
      <c r="B67" s="111" t="s">
        <v>215</v>
      </c>
      <c r="C67" s="170"/>
      <c r="D67" s="170"/>
      <c r="E67" s="106"/>
    </row>
    <row r="68" spans="1:5" s="178" customFormat="1" ht="12" customHeight="1" thickBot="1">
      <c r="A68" s="233" t="s">
        <v>380</v>
      </c>
      <c r="B68" s="19" t="s">
        <v>216</v>
      </c>
      <c r="C68" s="172">
        <f>+C11+C18+C25+C32+C40+C52+C58+C63</f>
        <v>0</v>
      </c>
      <c r="D68" s="172">
        <f>+D11+D18+D25+D32+D40+D52+D58+D63</f>
        <v>0</v>
      </c>
      <c r="E68" s="208">
        <f>+E11+E18+E25+E32+E40+E52+E58+E63</f>
        <v>5442680</v>
      </c>
    </row>
    <row r="69" spans="1:5" s="178" customFormat="1" ht="12" customHeight="1" thickBot="1">
      <c r="A69" s="220" t="s">
        <v>217</v>
      </c>
      <c r="B69" s="109" t="s">
        <v>218</v>
      </c>
      <c r="C69" s="166">
        <f>SUM(C70:C72)</f>
        <v>0</v>
      </c>
      <c r="D69" s="166">
        <f>SUM(D70:D72)</f>
        <v>0</v>
      </c>
      <c r="E69" s="102">
        <f>SUM(E70:E72)</f>
        <v>0</v>
      </c>
    </row>
    <row r="70" spans="1:5" s="178" customFormat="1" ht="12" customHeight="1">
      <c r="A70" s="13" t="s">
        <v>246</v>
      </c>
      <c r="B70" s="179" t="s">
        <v>219</v>
      </c>
      <c r="C70" s="170"/>
      <c r="D70" s="170"/>
      <c r="E70" s="106"/>
    </row>
    <row r="71" spans="1:5" s="178" customFormat="1" ht="12" customHeight="1">
      <c r="A71" s="12" t="s">
        <v>255</v>
      </c>
      <c r="B71" s="180" t="s">
        <v>220</v>
      </c>
      <c r="C71" s="170"/>
      <c r="D71" s="170"/>
      <c r="E71" s="106"/>
    </row>
    <row r="72" spans="1:5" s="178" customFormat="1" ht="12" customHeight="1" thickBot="1">
      <c r="A72" s="14" t="s">
        <v>256</v>
      </c>
      <c r="B72" s="229" t="s">
        <v>365</v>
      </c>
      <c r="C72" s="170"/>
      <c r="D72" s="170"/>
      <c r="E72" s="106"/>
    </row>
    <row r="73" spans="1:5" s="178" customFormat="1" ht="12" customHeight="1" thickBot="1">
      <c r="A73" s="220" t="s">
        <v>222</v>
      </c>
      <c r="B73" s="109" t="s">
        <v>223</v>
      </c>
      <c r="C73" s="166">
        <f>SUM(C74:C77)</f>
        <v>0</v>
      </c>
      <c r="D73" s="166">
        <f>SUM(D74:D77)</f>
        <v>0</v>
      </c>
      <c r="E73" s="102">
        <f>SUM(E74:E77)</f>
        <v>0</v>
      </c>
    </row>
    <row r="74" spans="1:5" s="178" customFormat="1" ht="12" customHeight="1">
      <c r="A74" s="13" t="s">
        <v>100</v>
      </c>
      <c r="B74" s="367" t="s">
        <v>224</v>
      </c>
      <c r="C74" s="170"/>
      <c r="D74" s="170"/>
      <c r="E74" s="106"/>
    </row>
    <row r="75" spans="1:5" s="178" customFormat="1" ht="12" customHeight="1">
      <c r="A75" s="12" t="s">
        <v>101</v>
      </c>
      <c r="B75" s="367" t="s">
        <v>502</v>
      </c>
      <c r="C75" s="170"/>
      <c r="D75" s="170"/>
      <c r="E75" s="106"/>
    </row>
    <row r="76" spans="1:5" s="178" customFormat="1" ht="12" customHeight="1">
      <c r="A76" s="12" t="s">
        <v>247</v>
      </c>
      <c r="B76" s="367" t="s">
        <v>225</v>
      </c>
      <c r="C76" s="170"/>
      <c r="D76" s="170"/>
      <c r="E76" s="106"/>
    </row>
    <row r="77" spans="1:5" s="178" customFormat="1" ht="12" customHeight="1" thickBot="1">
      <c r="A77" s="14" t="s">
        <v>248</v>
      </c>
      <c r="B77" s="368" t="s">
        <v>503</v>
      </c>
      <c r="C77" s="170"/>
      <c r="D77" s="170"/>
      <c r="E77" s="106"/>
    </row>
    <row r="78" spans="1:5" s="178" customFormat="1" ht="12" customHeight="1" thickBot="1">
      <c r="A78" s="220" t="s">
        <v>226</v>
      </c>
      <c r="B78" s="109" t="s">
        <v>227</v>
      </c>
      <c r="C78" s="166">
        <f>SUM(C79:C80)</f>
        <v>0</v>
      </c>
      <c r="D78" s="166">
        <f>SUM(D79:D80)</f>
        <v>0</v>
      </c>
      <c r="E78" s="102">
        <f>SUM(E79:E80)</f>
        <v>0</v>
      </c>
    </row>
    <row r="79" spans="1:5" s="178" customFormat="1" ht="12" customHeight="1">
      <c r="A79" s="13" t="s">
        <v>249</v>
      </c>
      <c r="B79" s="179" t="s">
        <v>228</v>
      </c>
      <c r="C79" s="170"/>
      <c r="D79" s="170"/>
      <c r="E79" s="106"/>
    </row>
    <row r="80" spans="1:5" s="178" customFormat="1" ht="12" customHeight="1" thickBot="1">
      <c r="A80" s="14" t="s">
        <v>250</v>
      </c>
      <c r="B80" s="111" t="s">
        <v>229</v>
      </c>
      <c r="C80" s="170"/>
      <c r="D80" s="170"/>
      <c r="E80" s="106"/>
    </row>
    <row r="81" spans="1:5" s="178" customFormat="1" ht="12" customHeight="1" thickBot="1">
      <c r="A81" s="220" t="s">
        <v>230</v>
      </c>
      <c r="B81" s="109" t="s">
        <v>231</v>
      </c>
      <c r="C81" s="166">
        <f>SUM(C82:C84)</f>
        <v>0</v>
      </c>
      <c r="D81" s="166">
        <f>SUM(D82:D84)</f>
        <v>0</v>
      </c>
      <c r="E81" s="102">
        <f>SUM(E82:E84)</f>
        <v>0</v>
      </c>
    </row>
    <row r="82" spans="1:5" s="178" customFormat="1" ht="12" customHeight="1">
      <c r="A82" s="13" t="s">
        <v>251</v>
      </c>
      <c r="B82" s="179" t="s">
        <v>232</v>
      </c>
      <c r="C82" s="170"/>
      <c r="D82" s="170"/>
      <c r="E82" s="106"/>
    </row>
    <row r="83" spans="1:5" s="178" customFormat="1" ht="12" customHeight="1">
      <c r="A83" s="12" t="s">
        <v>252</v>
      </c>
      <c r="B83" s="180" t="s">
        <v>233</v>
      </c>
      <c r="C83" s="170"/>
      <c r="D83" s="170"/>
      <c r="E83" s="106"/>
    </row>
    <row r="84" spans="1:5" s="178" customFormat="1" ht="12" customHeight="1" thickBot="1">
      <c r="A84" s="14" t="s">
        <v>253</v>
      </c>
      <c r="B84" s="111" t="s">
        <v>504</v>
      </c>
      <c r="C84" s="170"/>
      <c r="D84" s="170"/>
      <c r="E84" s="106"/>
    </row>
    <row r="85" spans="1:5" s="178" customFormat="1" ht="12" customHeight="1" thickBot="1">
      <c r="A85" s="220" t="s">
        <v>234</v>
      </c>
      <c r="B85" s="109" t="s">
        <v>254</v>
      </c>
      <c r="C85" s="166">
        <f>SUM(C86:C89)</f>
        <v>0</v>
      </c>
      <c r="D85" s="166">
        <f>SUM(D86:D89)</f>
        <v>0</v>
      </c>
      <c r="E85" s="102">
        <f>SUM(E86:E89)</f>
        <v>0</v>
      </c>
    </row>
    <row r="86" spans="1:5" s="178" customFormat="1" ht="12" customHeight="1">
      <c r="A86" s="183" t="s">
        <v>235</v>
      </c>
      <c r="B86" s="179" t="s">
        <v>236</v>
      </c>
      <c r="C86" s="170"/>
      <c r="D86" s="170"/>
      <c r="E86" s="106"/>
    </row>
    <row r="87" spans="1:5" s="178" customFormat="1" ht="12" customHeight="1">
      <c r="A87" s="184" t="s">
        <v>237</v>
      </c>
      <c r="B87" s="180" t="s">
        <v>238</v>
      </c>
      <c r="C87" s="170"/>
      <c r="D87" s="170"/>
      <c r="E87" s="106"/>
    </row>
    <row r="88" spans="1:5" s="178" customFormat="1" ht="12" customHeight="1">
      <c r="A88" s="184" t="s">
        <v>239</v>
      </c>
      <c r="B88" s="180" t="s">
        <v>240</v>
      </c>
      <c r="C88" s="170"/>
      <c r="D88" s="170"/>
      <c r="E88" s="106"/>
    </row>
    <row r="89" spans="1:5" s="178" customFormat="1" ht="12" customHeight="1" thickBot="1">
      <c r="A89" s="185" t="s">
        <v>241</v>
      </c>
      <c r="B89" s="111" t="s">
        <v>242</v>
      </c>
      <c r="C89" s="170"/>
      <c r="D89" s="170"/>
      <c r="E89" s="106"/>
    </row>
    <row r="90" spans="1:5" s="178" customFormat="1" ht="12" customHeight="1" thickBot="1">
      <c r="A90" s="220" t="s">
        <v>243</v>
      </c>
      <c r="B90" s="109" t="s">
        <v>379</v>
      </c>
      <c r="C90" s="222"/>
      <c r="D90" s="222"/>
      <c r="E90" s="223"/>
    </row>
    <row r="91" spans="1:5" s="178" customFormat="1" ht="13.5" customHeight="1" thickBot="1">
      <c r="A91" s="220" t="s">
        <v>245</v>
      </c>
      <c r="B91" s="109" t="s">
        <v>244</v>
      </c>
      <c r="C91" s="222"/>
      <c r="D91" s="222"/>
      <c r="E91" s="223"/>
    </row>
    <row r="92" spans="1:5" s="178" customFormat="1" ht="15.75" customHeight="1" thickBot="1">
      <c r="A92" s="220" t="s">
        <v>257</v>
      </c>
      <c r="B92" s="186" t="s">
        <v>382</v>
      </c>
      <c r="C92" s="172">
        <f>+C69+C73+C78+C81+C85+C91+C90</f>
        <v>0</v>
      </c>
      <c r="D92" s="172">
        <f>+D69+D73+D78+D81+D85+D91+D90</f>
        <v>0</v>
      </c>
      <c r="E92" s="208">
        <f>+E69+E73+E78+E81+E85+E91+E90</f>
        <v>0</v>
      </c>
    </row>
    <row r="93" spans="1:5" s="178" customFormat="1" ht="25.5" customHeight="1" thickBot="1">
      <c r="A93" s="221" t="s">
        <v>381</v>
      </c>
      <c r="B93" s="187" t="s">
        <v>383</v>
      </c>
      <c r="C93" s="172">
        <f>+C68+C92</f>
        <v>0</v>
      </c>
      <c r="D93" s="172">
        <f>+D68+D92</f>
        <v>0</v>
      </c>
      <c r="E93" s="208">
        <f>+E68+E92</f>
        <v>5442680</v>
      </c>
    </row>
    <row r="94" spans="1:3" s="178" customFormat="1" ht="15" customHeight="1">
      <c r="A94" s="3"/>
      <c r="B94" s="4"/>
      <c r="C94" s="113"/>
    </row>
    <row r="95" spans="1:5" ht="16.5" customHeight="1">
      <c r="A95" s="810" t="s">
        <v>34</v>
      </c>
      <c r="B95" s="810"/>
      <c r="C95" s="810"/>
      <c r="D95" s="810"/>
      <c r="E95" s="810"/>
    </row>
    <row r="96" spans="1:5" s="188" customFormat="1" ht="16.5" customHeight="1" thickBot="1">
      <c r="A96" s="812" t="s">
        <v>103</v>
      </c>
      <c r="B96" s="812"/>
      <c r="C96" s="60"/>
      <c r="E96" s="60" t="str">
        <f>E7</f>
        <v> Forintban!</v>
      </c>
    </row>
    <row r="97" spans="1:5" ht="15.75">
      <c r="A97" s="801" t="s">
        <v>52</v>
      </c>
      <c r="B97" s="803" t="s">
        <v>423</v>
      </c>
      <c r="C97" s="805" t="str">
        <f>+CONCATENATE(LEFT(Z_ÖSSZEFÜGGÉSEK!A6,4),". évi")</f>
        <v>2018. évi</v>
      </c>
      <c r="D97" s="806"/>
      <c r="E97" s="807"/>
    </row>
    <row r="98" spans="1:5" ht="24.75" thickBot="1">
      <c r="A98" s="802"/>
      <c r="B98" s="804"/>
      <c r="C98" s="250" t="s">
        <v>421</v>
      </c>
      <c r="D98" s="249" t="s">
        <v>422</v>
      </c>
      <c r="E98" s="369" t="str">
        <f>CONCATENATE(E9)</f>
        <v>2018. XII. 31.
teljesítés</v>
      </c>
    </row>
    <row r="99" spans="1:5" s="177" customFormat="1" ht="12" customHeight="1" thickBot="1">
      <c r="A99" s="25" t="s">
        <v>388</v>
      </c>
      <c r="B99" s="26" t="s">
        <v>389</v>
      </c>
      <c r="C99" s="26" t="s">
        <v>390</v>
      </c>
      <c r="D99" s="26" t="s">
        <v>392</v>
      </c>
      <c r="E99" s="261" t="s">
        <v>391</v>
      </c>
    </row>
    <row r="100" spans="1:5" ht="12" customHeight="1" thickBot="1">
      <c r="A100" s="20" t="s">
        <v>6</v>
      </c>
      <c r="B100" s="24" t="s">
        <v>341</v>
      </c>
      <c r="C100" s="165">
        <f>C101+C102+C103+C104+C105+C118</f>
        <v>0</v>
      </c>
      <c r="D100" s="165">
        <f>D101+D102+D103+D104+D105+D118</f>
        <v>0</v>
      </c>
      <c r="E100" s="236">
        <f>E101+E102+E103+E104+E105+E118</f>
        <v>5442680</v>
      </c>
    </row>
    <row r="101" spans="1:5" ht="12" customHeight="1">
      <c r="A101" s="15" t="s">
        <v>64</v>
      </c>
      <c r="B101" s="8" t="s">
        <v>35</v>
      </c>
      <c r="C101" s="243"/>
      <c r="D101" s="243"/>
      <c r="E101" s="237"/>
    </row>
    <row r="102" spans="1:5" ht="12" customHeight="1">
      <c r="A102" s="12" t="s">
        <v>65</v>
      </c>
      <c r="B102" s="6" t="s">
        <v>124</v>
      </c>
      <c r="C102" s="167"/>
      <c r="D102" s="167"/>
      <c r="E102" s="103"/>
    </row>
    <row r="103" spans="1:5" ht="12" customHeight="1">
      <c r="A103" s="12" t="s">
        <v>66</v>
      </c>
      <c r="B103" s="6" t="s">
        <v>92</v>
      </c>
      <c r="C103" s="169"/>
      <c r="D103" s="169"/>
      <c r="E103" s="105">
        <v>187680</v>
      </c>
    </row>
    <row r="104" spans="1:5" ht="12" customHeight="1">
      <c r="A104" s="12" t="s">
        <v>67</v>
      </c>
      <c r="B104" s="9" t="s">
        <v>125</v>
      </c>
      <c r="C104" s="169"/>
      <c r="D104" s="169"/>
      <c r="E104" s="105"/>
    </row>
    <row r="105" spans="1:5" ht="12" customHeight="1">
      <c r="A105" s="12" t="s">
        <v>76</v>
      </c>
      <c r="B105" s="17" t="s">
        <v>126</v>
      </c>
      <c r="C105" s="169"/>
      <c r="D105" s="169"/>
      <c r="E105" s="105">
        <f>SUM(E106:E117)</f>
        <v>5255000</v>
      </c>
    </row>
    <row r="106" spans="1:5" ht="12" customHeight="1">
      <c r="A106" s="12" t="s">
        <v>68</v>
      </c>
      <c r="B106" s="6" t="s">
        <v>346</v>
      </c>
      <c r="C106" s="169"/>
      <c r="D106" s="169"/>
      <c r="E106" s="105"/>
    </row>
    <row r="107" spans="1:5" ht="12" customHeight="1">
      <c r="A107" s="12" t="s">
        <v>69</v>
      </c>
      <c r="B107" s="64" t="s">
        <v>345</v>
      </c>
      <c r="C107" s="169"/>
      <c r="D107" s="169"/>
      <c r="E107" s="105"/>
    </row>
    <row r="108" spans="1:5" ht="12" customHeight="1">
      <c r="A108" s="12" t="s">
        <v>77</v>
      </c>
      <c r="B108" s="64" t="s">
        <v>344</v>
      </c>
      <c r="C108" s="169"/>
      <c r="D108" s="169"/>
      <c r="E108" s="105"/>
    </row>
    <row r="109" spans="1:5" ht="12" customHeight="1">
      <c r="A109" s="12" t="s">
        <v>78</v>
      </c>
      <c r="B109" s="62" t="s">
        <v>260</v>
      </c>
      <c r="C109" s="169"/>
      <c r="D109" s="169"/>
      <c r="E109" s="105"/>
    </row>
    <row r="110" spans="1:5" ht="12" customHeight="1">
      <c r="A110" s="12" t="s">
        <v>79</v>
      </c>
      <c r="B110" s="63" t="s">
        <v>261</v>
      </c>
      <c r="C110" s="169"/>
      <c r="D110" s="169"/>
      <c r="E110" s="105"/>
    </row>
    <row r="111" spans="1:5" ht="12" customHeight="1">
      <c r="A111" s="12" t="s">
        <v>80</v>
      </c>
      <c r="B111" s="63" t="s">
        <v>262</v>
      </c>
      <c r="C111" s="169"/>
      <c r="D111" s="169"/>
      <c r="E111" s="105"/>
    </row>
    <row r="112" spans="1:5" ht="12" customHeight="1">
      <c r="A112" s="12" t="s">
        <v>82</v>
      </c>
      <c r="B112" s="62" t="s">
        <v>263</v>
      </c>
      <c r="C112" s="169"/>
      <c r="D112" s="169"/>
      <c r="E112" s="105"/>
    </row>
    <row r="113" spans="1:5" ht="12" customHeight="1">
      <c r="A113" s="12" t="s">
        <v>127</v>
      </c>
      <c r="B113" s="62" t="s">
        <v>264</v>
      </c>
      <c r="C113" s="169"/>
      <c r="D113" s="169"/>
      <c r="E113" s="105"/>
    </row>
    <row r="114" spans="1:5" ht="12" customHeight="1">
      <c r="A114" s="12" t="s">
        <v>258</v>
      </c>
      <c r="B114" s="63" t="s">
        <v>265</v>
      </c>
      <c r="C114" s="169"/>
      <c r="D114" s="169"/>
      <c r="E114" s="105">
        <v>3635000</v>
      </c>
    </row>
    <row r="115" spans="1:5" ht="12" customHeight="1">
      <c r="A115" s="11" t="s">
        <v>259</v>
      </c>
      <c r="B115" s="64" t="s">
        <v>266</v>
      </c>
      <c r="C115" s="169"/>
      <c r="D115" s="169"/>
      <c r="E115" s="105"/>
    </row>
    <row r="116" spans="1:5" ht="12" customHeight="1">
      <c r="A116" s="12" t="s">
        <v>342</v>
      </c>
      <c r="B116" s="64" t="s">
        <v>267</v>
      </c>
      <c r="C116" s="169"/>
      <c r="D116" s="169"/>
      <c r="E116" s="105"/>
    </row>
    <row r="117" spans="1:5" ht="12" customHeight="1">
      <c r="A117" s="14" t="s">
        <v>343</v>
      </c>
      <c r="B117" s="64" t="s">
        <v>268</v>
      </c>
      <c r="C117" s="169"/>
      <c r="D117" s="169"/>
      <c r="E117" s="105">
        <v>1620000</v>
      </c>
    </row>
    <row r="118" spans="1:5" ht="12" customHeight="1">
      <c r="A118" s="12" t="s">
        <v>347</v>
      </c>
      <c r="B118" s="9" t="s">
        <v>36</v>
      </c>
      <c r="C118" s="167"/>
      <c r="D118" s="167"/>
      <c r="E118" s="103"/>
    </row>
    <row r="119" spans="1:5" ht="12" customHeight="1">
      <c r="A119" s="12" t="s">
        <v>348</v>
      </c>
      <c r="B119" s="6" t="s">
        <v>350</v>
      </c>
      <c r="C119" s="167"/>
      <c r="D119" s="167"/>
      <c r="E119" s="103"/>
    </row>
    <row r="120" spans="1:5" ht="12" customHeight="1" thickBot="1">
      <c r="A120" s="16" t="s">
        <v>349</v>
      </c>
      <c r="B120" s="232" t="s">
        <v>351</v>
      </c>
      <c r="C120" s="244"/>
      <c r="D120" s="244"/>
      <c r="E120" s="238"/>
    </row>
    <row r="121" spans="1:5" ht="12" customHeight="1" thickBot="1">
      <c r="A121" s="230" t="s">
        <v>7</v>
      </c>
      <c r="B121" s="231" t="s">
        <v>269</v>
      </c>
      <c r="C121" s="245">
        <f>+C122+C124+C126</f>
        <v>0</v>
      </c>
      <c r="D121" s="166">
        <f>+D122+D124+D126</f>
        <v>0</v>
      </c>
      <c r="E121" s="239">
        <f>+E122+E124+E126</f>
        <v>0</v>
      </c>
    </row>
    <row r="122" spans="1:5" ht="12" customHeight="1">
      <c r="A122" s="13" t="s">
        <v>70</v>
      </c>
      <c r="B122" s="6" t="s">
        <v>145</v>
      </c>
      <c r="C122" s="168"/>
      <c r="D122" s="254"/>
      <c r="E122" s="104"/>
    </row>
    <row r="123" spans="1:5" ht="12" customHeight="1">
      <c r="A123" s="13" t="s">
        <v>71</v>
      </c>
      <c r="B123" s="10" t="s">
        <v>273</v>
      </c>
      <c r="C123" s="168"/>
      <c r="D123" s="254"/>
      <c r="E123" s="104"/>
    </row>
    <row r="124" spans="1:5" ht="12" customHeight="1">
      <c r="A124" s="13" t="s">
        <v>72</v>
      </c>
      <c r="B124" s="10" t="s">
        <v>128</v>
      </c>
      <c r="C124" s="167"/>
      <c r="D124" s="255"/>
      <c r="E124" s="103"/>
    </row>
    <row r="125" spans="1:5" ht="12" customHeight="1">
      <c r="A125" s="13" t="s">
        <v>73</v>
      </c>
      <c r="B125" s="10" t="s">
        <v>274</v>
      </c>
      <c r="C125" s="167"/>
      <c r="D125" s="255"/>
      <c r="E125" s="103"/>
    </row>
    <row r="126" spans="1:5" ht="12" customHeight="1">
      <c r="A126" s="13" t="s">
        <v>74</v>
      </c>
      <c r="B126" s="111" t="s">
        <v>147</v>
      </c>
      <c r="C126" s="167"/>
      <c r="D126" s="255"/>
      <c r="E126" s="103"/>
    </row>
    <row r="127" spans="1:5" ht="12" customHeight="1">
      <c r="A127" s="13" t="s">
        <v>81</v>
      </c>
      <c r="B127" s="110" t="s">
        <v>334</v>
      </c>
      <c r="C127" s="167"/>
      <c r="D127" s="255"/>
      <c r="E127" s="103"/>
    </row>
    <row r="128" spans="1:5" ht="12" customHeight="1">
      <c r="A128" s="13" t="s">
        <v>83</v>
      </c>
      <c r="B128" s="175" t="s">
        <v>279</v>
      </c>
      <c r="C128" s="167"/>
      <c r="D128" s="255"/>
      <c r="E128" s="103"/>
    </row>
    <row r="129" spans="1:5" ht="15.75">
      <c r="A129" s="13" t="s">
        <v>129</v>
      </c>
      <c r="B129" s="63" t="s">
        <v>262</v>
      </c>
      <c r="C129" s="167"/>
      <c r="D129" s="255"/>
      <c r="E129" s="103"/>
    </row>
    <row r="130" spans="1:5" ht="12" customHeight="1">
      <c r="A130" s="13" t="s">
        <v>130</v>
      </c>
      <c r="B130" s="63" t="s">
        <v>278</v>
      </c>
      <c r="C130" s="167"/>
      <c r="D130" s="255"/>
      <c r="E130" s="103"/>
    </row>
    <row r="131" spans="1:5" ht="12" customHeight="1">
      <c r="A131" s="13" t="s">
        <v>131</v>
      </c>
      <c r="B131" s="63" t="s">
        <v>277</v>
      </c>
      <c r="C131" s="167"/>
      <c r="D131" s="255"/>
      <c r="E131" s="103"/>
    </row>
    <row r="132" spans="1:5" ht="12" customHeight="1">
      <c r="A132" s="13" t="s">
        <v>270</v>
      </c>
      <c r="B132" s="63" t="s">
        <v>265</v>
      </c>
      <c r="C132" s="167"/>
      <c r="D132" s="255"/>
      <c r="E132" s="103"/>
    </row>
    <row r="133" spans="1:5" ht="12" customHeight="1">
      <c r="A133" s="13" t="s">
        <v>271</v>
      </c>
      <c r="B133" s="63" t="s">
        <v>276</v>
      </c>
      <c r="C133" s="167"/>
      <c r="D133" s="255"/>
      <c r="E133" s="103"/>
    </row>
    <row r="134" spans="1:5" ht="16.5" thickBot="1">
      <c r="A134" s="11" t="s">
        <v>272</v>
      </c>
      <c r="B134" s="63" t="s">
        <v>275</v>
      </c>
      <c r="C134" s="169"/>
      <c r="D134" s="256"/>
      <c r="E134" s="105"/>
    </row>
    <row r="135" spans="1:5" ht="12" customHeight="1" thickBot="1">
      <c r="A135" s="18" t="s">
        <v>8</v>
      </c>
      <c r="B135" s="56" t="s">
        <v>352</v>
      </c>
      <c r="C135" s="166">
        <f>+C100+C121</f>
        <v>0</v>
      </c>
      <c r="D135" s="253">
        <f>+D100+D121</f>
        <v>0</v>
      </c>
      <c r="E135" s="102">
        <f>+E100+E121</f>
        <v>5442680</v>
      </c>
    </row>
    <row r="136" spans="1:5" ht="12" customHeight="1" thickBot="1">
      <c r="A136" s="18" t="s">
        <v>9</v>
      </c>
      <c r="B136" s="56" t="s">
        <v>424</v>
      </c>
      <c r="C136" s="166">
        <f>+C137+C138+C139</f>
        <v>0</v>
      </c>
      <c r="D136" s="253">
        <f>+D137+D138+D139</f>
        <v>0</v>
      </c>
      <c r="E136" s="102">
        <f>+E137+E138+E139</f>
        <v>0</v>
      </c>
    </row>
    <row r="137" spans="1:5" ht="12" customHeight="1">
      <c r="A137" s="13" t="s">
        <v>177</v>
      </c>
      <c r="B137" s="10" t="s">
        <v>360</v>
      </c>
      <c r="C137" s="167"/>
      <c r="D137" s="255"/>
      <c r="E137" s="103"/>
    </row>
    <row r="138" spans="1:5" ht="12" customHeight="1">
      <c r="A138" s="13" t="s">
        <v>178</v>
      </c>
      <c r="B138" s="10" t="s">
        <v>361</v>
      </c>
      <c r="C138" s="167"/>
      <c r="D138" s="255"/>
      <c r="E138" s="103"/>
    </row>
    <row r="139" spans="1:5" ht="12" customHeight="1" thickBot="1">
      <c r="A139" s="11" t="s">
        <v>179</v>
      </c>
      <c r="B139" s="10" t="s">
        <v>362</v>
      </c>
      <c r="C139" s="167"/>
      <c r="D139" s="255"/>
      <c r="E139" s="103"/>
    </row>
    <row r="140" spans="1:5" ht="12" customHeight="1" thickBot="1">
      <c r="A140" s="18" t="s">
        <v>10</v>
      </c>
      <c r="B140" s="56" t="s">
        <v>354</v>
      </c>
      <c r="C140" s="166">
        <f>SUM(C141:C146)</f>
        <v>0</v>
      </c>
      <c r="D140" s="253">
        <f>SUM(D141:D146)</f>
        <v>0</v>
      </c>
      <c r="E140" s="102">
        <f>SUM(E141:E146)</f>
        <v>0</v>
      </c>
    </row>
    <row r="141" spans="1:5" ht="12" customHeight="1">
      <c r="A141" s="13" t="s">
        <v>57</v>
      </c>
      <c r="B141" s="7" t="s">
        <v>363</v>
      </c>
      <c r="C141" s="167"/>
      <c r="D141" s="255"/>
      <c r="E141" s="103"/>
    </row>
    <row r="142" spans="1:5" ht="12" customHeight="1">
      <c r="A142" s="13" t="s">
        <v>58</v>
      </c>
      <c r="B142" s="7" t="s">
        <v>355</v>
      </c>
      <c r="C142" s="167"/>
      <c r="D142" s="255"/>
      <c r="E142" s="103"/>
    </row>
    <row r="143" spans="1:5" ht="12" customHeight="1">
      <c r="A143" s="13" t="s">
        <v>59</v>
      </c>
      <c r="B143" s="7" t="s">
        <v>356</v>
      </c>
      <c r="C143" s="167"/>
      <c r="D143" s="255"/>
      <c r="E143" s="103"/>
    </row>
    <row r="144" spans="1:5" ht="12" customHeight="1">
      <c r="A144" s="13" t="s">
        <v>116</v>
      </c>
      <c r="B144" s="7" t="s">
        <v>357</v>
      </c>
      <c r="C144" s="167"/>
      <c r="D144" s="255"/>
      <c r="E144" s="103"/>
    </row>
    <row r="145" spans="1:5" ht="12" customHeight="1">
      <c r="A145" s="13" t="s">
        <v>117</v>
      </c>
      <c r="B145" s="7" t="s">
        <v>358</v>
      </c>
      <c r="C145" s="167"/>
      <c r="D145" s="255"/>
      <c r="E145" s="103"/>
    </row>
    <row r="146" spans="1:5" ht="12" customHeight="1" thickBot="1">
      <c r="A146" s="16" t="s">
        <v>118</v>
      </c>
      <c r="B146" s="379" t="s">
        <v>359</v>
      </c>
      <c r="C146" s="244"/>
      <c r="D146" s="320"/>
      <c r="E146" s="238"/>
    </row>
    <row r="147" spans="1:5" ht="12" customHeight="1" thickBot="1">
      <c r="A147" s="18" t="s">
        <v>11</v>
      </c>
      <c r="B147" s="56" t="s">
        <v>367</v>
      </c>
      <c r="C147" s="172">
        <f>+C148+C149+C150+C151</f>
        <v>0</v>
      </c>
      <c r="D147" s="257">
        <f>+D148+D149+D150+D151</f>
        <v>0</v>
      </c>
      <c r="E147" s="208">
        <f>+E148+E149+E150+E151</f>
        <v>0</v>
      </c>
    </row>
    <row r="148" spans="1:5" ht="12" customHeight="1">
      <c r="A148" s="13" t="s">
        <v>60</v>
      </c>
      <c r="B148" s="7" t="s">
        <v>280</v>
      </c>
      <c r="C148" s="167"/>
      <c r="D148" s="255"/>
      <c r="E148" s="103"/>
    </row>
    <row r="149" spans="1:5" ht="12" customHeight="1">
      <c r="A149" s="13" t="s">
        <v>61</v>
      </c>
      <c r="B149" s="7" t="s">
        <v>281</v>
      </c>
      <c r="C149" s="167"/>
      <c r="D149" s="255"/>
      <c r="E149" s="103"/>
    </row>
    <row r="150" spans="1:5" ht="12" customHeight="1">
      <c r="A150" s="13" t="s">
        <v>197</v>
      </c>
      <c r="B150" s="7" t="s">
        <v>368</v>
      </c>
      <c r="C150" s="167"/>
      <c r="D150" s="255"/>
      <c r="E150" s="103"/>
    </row>
    <row r="151" spans="1:5" ht="12" customHeight="1" thickBot="1">
      <c r="A151" s="11" t="s">
        <v>198</v>
      </c>
      <c r="B151" s="5" t="s">
        <v>297</v>
      </c>
      <c r="C151" s="167"/>
      <c r="D151" s="255"/>
      <c r="E151" s="103"/>
    </row>
    <row r="152" spans="1:5" ht="12" customHeight="1" thickBot="1">
      <c r="A152" s="18" t="s">
        <v>12</v>
      </c>
      <c r="B152" s="56" t="s">
        <v>369</v>
      </c>
      <c r="C152" s="246">
        <f>SUM(C153:C157)</f>
        <v>0</v>
      </c>
      <c r="D152" s="258">
        <f>SUM(D153:D157)</f>
        <v>0</v>
      </c>
      <c r="E152" s="240">
        <f>SUM(E153:E157)</f>
        <v>0</v>
      </c>
    </row>
    <row r="153" spans="1:5" ht="12" customHeight="1">
      <c r="A153" s="13" t="s">
        <v>62</v>
      </c>
      <c r="B153" s="7" t="s">
        <v>364</v>
      </c>
      <c r="C153" s="167"/>
      <c r="D153" s="255"/>
      <c r="E153" s="103"/>
    </row>
    <row r="154" spans="1:5" ht="12" customHeight="1">
      <c r="A154" s="13" t="s">
        <v>63</v>
      </c>
      <c r="B154" s="7" t="s">
        <v>371</v>
      </c>
      <c r="C154" s="167"/>
      <c r="D154" s="255"/>
      <c r="E154" s="103"/>
    </row>
    <row r="155" spans="1:5" ht="12" customHeight="1">
      <c r="A155" s="13" t="s">
        <v>209</v>
      </c>
      <c r="B155" s="7" t="s">
        <v>366</v>
      </c>
      <c r="C155" s="167"/>
      <c r="D155" s="255"/>
      <c r="E155" s="103"/>
    </row>
    <row r="156" spans="1:5" ht="12" customHeight="1">
      <c r="A156" s="13" t="s">
        <v>210</v>
      </c>
      <c r="B156" s="7" t="s">
        <v>372</v>
      </c>
      <c r="C156" s="167"/>
      <c r="D156" s="255"/>
      <c r="E156" s="103"/>
    </row>
    <row r="157" spans="1:5" ht="12" customHeight="1" thickBot="1">
      <c r="A157" s="13" t="s">
        <v>370</v>
      </c>
      <c r="B157" s="7" t="s">
        <v>373</v>
      </c>
      <c r="C157" s="167"/>
      <c r="D157" s="255"/>
      <c r="E157" s="103"/>
    </row>
    <row r="158" spans="1:5" ht="12" customHeight="1" thickBot="1">
      <c r="A158" s="18" t="s">
        <v>13</v>
      </c>
      <c r="B158" s="56" t="s">
        <v>374</v>
      </c>
      <c r="C158" s="247"/>
      <c r="D158" s="259"/>
      <c r="E158" s="241"/>
    </row>
    <row r="159" spans="1:5" ht="12" customHeight="1" thickBot="1">
      <c r="A159" s="18" t="s">
        <v>14</v>
      </c>
      <c r="B159" s="56" t="s">
        <v>375</v>
      </c>
      <c r="C159" s="247"/>
      <c r="D159" s="259"/>
      <c r="E159" s="241"/>
    </row>
    <row r="160" spans="1:9" ht="15" customHeight="1" thickBot="1">
      <c r="A160" s="18" t="s">
        <v>15</v>
      </c>
      <c r="B160" s="56" t="s">
        <v>377</v>
      </c>
      <c r="C160" s="248">
        <f>+C136+C140+C147+C152+C158+C159</f>
        <v>0</v>
      </c>
      <c r="D160" s="260">
        <f>+D136+D140+D147+D152+D158+D159</f>
        <v>0</v>
      </c>
      <c r="E160" s="242">
        <f>+E136+E140+E147+E152+E158+E159</f>
        <v>0</v>
      </c>
      <c r="F160" s="189"/>
      <c r="G160" s="190"/>
      <c r="H160" s="190"/>
      <c r="I160" s="190"/>
    </row>
    <row r="161" spans="1:5" s="178" customFormat="1" ht="12.75" customHeight="1" thickBot="1">
      <c r="A161" s="112" t="s">
        <v>16</v>
      </c>
      <c r="B161" s="153" t="s">
        <v>376</v>
      </c>
      <c r="C161" s="248">
        <f>+C135+C160</f>
        <v>0</v>
      </c>
      <c r="D161" s="260">
        <f>+D135+D160</f>
        <v>0</v>
      </c>
      <c r="E161" s="242">
        <f>+E135+E160</f>
        <v>5442680</v>
      </c>
    </row>
    <row r="162" spans="3:4" ht="15.75">
      <c r="C162" s="726">
        <f>C93-C161</f>
        <v>0</v>
      </c>
      <c r="D162" s="726">
        <f>D93-D161</f>
        <v>0</v>
      </c>
    </row>
    <row r="163" spans="1:5" ht="15.75">
      <c r="A163" s="808" t="s">
        <v>282</v>
      </c>
      <c r="B163" s="808"/>
      <c r="C163" s="808"/>
      <c r="D163" s="808"/>
      <c r="E163" s="808"/>
    </row>
    <row r="164" spans="1:5" ht="15" customHeight="1" thickBot="1">
      <c r="A164" s="800" t="s">
        <v>104</v>
      </c>
      <c r="B164" s="800"/>
      <c r="C164" s="114"/>
      <c r="E164" s="114" t="str">
        <f>E96</f>
        <v> Forintban!</v>
      </c>
    </row>
    <row r="165" spans="1:5" ht="25.5" customHeight="1" thickBot="1">
      <c r="A165" s="18">
        <v>1</v>
      </c>
      <c r="B165" s="23" t="s">
        <v>378</v>
      </c>
      <c r="C165" s="252">
        <f>+C68-C135</f>
        <v>0</v>
      </c>
      <c r="D165" s="166">
        <f>+D68-D135</f>
        <v>0</v>
      </c>
      <c r="E165" s="102">
        <f>+E68-E135</f>
        <v>0</v>
      </c>
    </row>
    <row r="166" spans="1:5" ht="32.25" customHeight="1" thickBot="1">
      <c r="A166" s="18" t="s">
        <v>7</v>
      </c>
      <c r="B166" s="23" t="s">
        <v>384</v>
      </c>
      <c r="C166" s="166">
        <f>+C92-C160</f>
        <v>0</v>
      </c>
      <c r="D166" s="166">
        <f>+D92-D160</f>
        <v>0</v>
      </c>
      <c r="E166" s="102">
        <f>+E92-E160</f>
        <v>0</v>
      </c>
    </row>
  </sheetData>
  <sheetProtection/>
  <mergeCells count="16">
    <mergeCell ref="B1:E1"/>
    <mergeCell ref="A2:E2"/>
    <mergeCell ref="A3:E3"/>
    <mergeCell ref="A4:E4"/>
    <mergeCell ref="A6:E6"/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</mergeCells>
  <printOptions horizontalCentered="1"/>
  <pageMargins left="0.6692913385826772" right="0.6692913385826772" top="0.8661417322834646" bottom="0.8661417322834646" header="0" footer="0"/>
  <pageSetup fitToHeight="2" orientation="portrait" paperSize="9" scale="72" r:id="rId1"/>
  <rowBreaks count="2" manualBreakCount="2">
    <brk id="68" max="4" man="1"/>
    <brk id="146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6"/>
  <sheetViews>
    <sheetView zoomScale="120" zoomScaleNormal="120" zoomScaleSheetLayoutView="100" workbookViewId="0" topLeftCell="A1">
      <selection activeCell="G123" sqref="G123"/>
    </sheetView>
  </sheetViews>
  <sheetFormatPr defaultColWidth="9.00390625" defaultRowHeight="12.75"/>
  <cols>
    <col min="1" max="1" width="9.50390625" style="154" customWidth="1"/>
    <col min="2" max="2" width="65.875" style="154" customWidth="1"/>
    <col min="3" max="3" width="17.875" style="155" customWidth="1"/>
    <col min="4" max="5" width="17.875" style="176" customWidth="1"/>
    <col min="6" max="16384" width="9.375" style="176" customWidth="1"/>
  </cols>
  <sheetData>
    <row r="1" spans="1:5" ht="15.75">
      <c r="A1" s="380"/>
      <c r="B1" s="795" t="str">
        <f>CONCATENATE("1.4. melléklet ",Z_ALAPADATOK!A7," ",Z_ALAPADATOK!B7," ",Z_ALAPADATOK!C7," ",Z_ALAPADATOK!D7," ",Z_ALAPADATOK!E7," ",Z_ALAPADATOK!F7," ",Z_ALAPADATOK!G7," ",Z_ALAPADATOK!H7)</f>
        <v>1.4. melléklet a 2 / 2019. ( IV.26. ) önkormányzati rendelethez</v>
      </c>
      <c r="C1" s="796"/>
      <c r="D1" s="796"/>
      <c r="E1" s="796"/>
    </row>
    <row r="2" spans="1:5" ht="15.75">
      <c r="A2" s="797" t="str">
        <f>CONCATENATE(Z_ALAPADATOK!A3)</f>
        <v>Kállósemjén Nagyközség Önkormányzata</v>
      </c>
      <c r="B2" s="798"/>
      <c r="C2" s="798"/>
      <c r="D2" s="798"/>
      <c r="E2" s="798"/>
    </row>
    <row r="3" spans="1:5" ht="15.75">
      <c r="A3" s="813" t="s">
        <v>878</v>
      </c>
      <c r="B3" s="813"/>
      <c r="C3" s="813"/>
      <c r="D3" s="813"/>
      <c r="E3" s="813"/>
    </row>
    <row r="4" spans="1:5" ht="17.25" customHeight="1">
      <c r="A4" s="813" t="s">
        <v>881</v>
      </c>
      <c r="B4" s="813"/>
      <c r="C4" s="813"/>
      <c r="D4" s="813"/>
      <c r="E4" s="813"/>
    </row>
    <row r="5" spans="1:5" ht="15.75">
      <c r="A5" s="380"/>
      <c r="B5" s="380"/>
      <c r="C5" s="381"/>
      <c r="D5" s="382"/>
      <c r="E5" s="382"/>
    </row>
    <row r="6" spans="1:5" ht="15.75" customHeight="1">
      <c r="A6" s="809" t="s">
        <v>3</v>
      </c>
      <c r="B6" s="809"/>
      <c r="C6" s="809"/>
      <c r="D6" s="809"/>
      <c r="E6" s="809"/>
    </row>
    <row r="7" spans="1:5" ht="15.75" customHeight="1" thickBot="1">
      <c r="A7" s="811" t="s">
        <v>102</v>
      </c>
      <c r="B7" s="811"/>
      <c r="C7" s="383"/>
      <c r="D7" s="382"/>
      <c r="E7" s="383" t="str">
        <f>CONCATENATE('Z_1.3.sz.mell.'!E7)</f>
        <v> Forintban!</v>
      </c>
    </row>
    <row r="8" spans="1:5" ht="15.75">
      <c r="A8" s="801" t="s">
        <v>52</v>
      </c>
      <c r="B8" s="803" t="s">
        <v>5</v>
      </c>
      <c r="C8" s="805" t="str">
        <f>+CONCATENATE(LEFT(Z_ÖSSZEFÜGGÉSEK!A6,4),". évi")</f>
        <v>2018. évi</v>
      </c>
      <c r="D8" s="806"/>
      <c r="E8" s="807"/>
    </row>
    <row r="9" spans="1:5" ht="24.75" thickBot="1">
      <c r="A9" s="802"/>
      <c r="B9" s="804"/>
      <c r="C9" s="250" t="s">
        <v>421</v>
      </c>
      <c r="D9" s="249" t="s">
        <v>422</v>
      </c>
      <c r="E9" s="369" t="str">
        <f>CONCATENATE('Z_1.3.sz.mell.'!E9)</f>
        <v>2018. XII. 31.
teljesítés</v>
      </c>
    </row>
    <row r="10" spans="1:5" s="177" customFormat="1" ht="12" customHeight="1" thickBot="1">
      <c r="A10" s="173" t="s">
        <v>388</v>
      </c>
      <c r="B10" s="174" t="s">
        <v>389</v>
      </c>
      <c r="C10" s="174" t="s">
        <v>390</v>
      </c>
      <c r="D10" s="174" t="s">
        <v>392</v>
      </c>
      <c r="E10" s="251" t="s">
        <v>391</v>
      </c>
    </row>
    <row r="11" spans="1:5" s="178" customFormat="1" ht="12" customHeight="1" thickBot="1">
      <c r="A11" s="18" t="s">
        <v>6</v>
      </c>
      <c r="B11" s="19" t="s">
        <v>162</v>
      </c>
      <c r="C11" s="166">
        <f>+C12+C13+C14+C15+C16+C17</f>
        <v>0</v>
      </c>
      <c r="D11" s="166">
        <f>+D12+D13+D14+D15+D16+D17</f>
        <v>0</v>
      </c>
      <c r="E11" s="102">
        <f>+E12+E13+E14+E15+E16+E17</f>
        <v>0</v>
      </c>
    </row>
    <row r="12" spans="1:5" s="178" customFormat="1" ht="12" customHeight="1">
      <c r="A12" s="13" t="s">
        <v>64</v>
      </c>
      <c r="B12" s="179" t="s">
        <v>163</v>
      </c>
      <c r="C12" s="168"/>
      <c r="D12" s="168"/>
      <c r="E12" s="104"/>
    </row>
    <row r="13" spans="1:5" s="178" customFormat="1" ht="12" customHeight="1">
      <c r="A13" s="12" t="s">
        <v>65</v>
      </c>
      <c r="B13" s="180" t="s">
        <v>164</v>
      </c>
      <c r="C13" s="167"/>
      <c r="D13" s="167"/>
      <c r="E13" s="103"/>
    </row>
    <row r="14" spans="1:5" s="178" customFormat="1" ht="12" customHeight="1">
      <c r="A14" s="12" t="s">
        <v>66</v>
      </c>
      <c r="B14" s="180" t="s">
        <v>165</v>
      </c>
      <c r="C14" s="167"/>
      <c r="D14" s="167"/>
      <c r="E14" s="103"/>
    </row>
    <row r="15" spans="1:5" s="178" customFormat="1" ht="12" customHeight="1">
      <c r="A15" s="12" t="s">
        <v>67</v>
      </c>
      <c r="B15" s="180" t="s">
        <v>166</v>
      </c>
      <c r="C15" s="167"/>
      <c r="D15" s="167"/>
      <c r="E15" s="103"/>
    </row>
    <row r="16" spans="1:5" s="178" customFormat="1" ht="12" customHeight="1">
      <c r="A16" s="12" t="s">
        <v>99</v>
      </c>
      <c r="B16" s="110" t="s">
        <v>336</v>
      </c>
      <c r="C16" s="167"/>
      <c r="D16" s="167"/>
      <c r="E16" s="103"/>
    </row>
    <row r="17" spans="1:5" s="178" customFormat="1" ht="12" customHeight="1" thickBot="1">
      <c r="A17" s="14" t="s">
        <v>68</v>
      </c>
      <c r="B17" s="111" t="s">
        <v>337</v>
      </c>
      <c r="C17" s="167"/>
      <c r="D17" s="167"/>
      <c r="E17" s="103"/>
    </row>
    <row r="18" spans="1:5" s="178" customFormat="1" ht="12" customHeight="1" thickBot="1">
      <c r="A18" s="18" t="s">
        <v>7</v>
      </c>
      <c r="B18" s="109" t="s">
        <v>167</v>
      </c>
      <c r="C18" s="166">
        <f>+C19+C20+C21+C22+C23</f>
        <v>0</v>
      </c>
      <c r="D18" s="166">
        <f>+D19+D20+D21+D22+D23</f>
        <v>2203388</v>
      </c>
      <c r="E18" s="102">
        <f>+E19+E20+E21+E22+E23</f>
        <v>34839847</v>
      </c>
    </row>
    <row r="19" spans="1:5" s="178" customFormat="1" ht="12" customHeight="1">
      <c r="A19" s="13" t="s">
        <v>70</v>
      </c>
      <c r="B19" s="179" t="s">
        <v>168</v>
      </c>
      <c r="C19" s="168"/>
      <c r="D19" s="168"/>
      <c r="E19" s="104"/>
    </row>
    <row r="20" spans="1:5" s="178" customFormat="1" ht="12" customHeight="1">
      <c r="A20" s="12" t="s">
        <v>71</v>
      </c>
      <c r="B20" s="180" t="s">
        <v>169</v>
      </c>
      <c r="C20" s="167"/>
      <c r="D20" s="167"/>
      <c r="E20" s="103"/>
    </row>
    <row r="21" spans="1:5" s="178" customFormat="1" ht="12" customHeight="1">
      <c r="A21" s="12" t="s">
        <v>72</v>
      </c>
      <c r="B21" s="180" t="s">
        <v>328</v>
      </c>
      <c r="C21" s="167"/>
      <c r="D21" s="167"/>
      <c r="E21" s="103"/>
    </row>
    <row r="22" spans="1:5" s="178" customFormat="1" ht="12" customHeight="1">
      <c r="A22" s="12" t="s">
        <v>73</v>
      </c>
      <c r="B22" s="180" t="s">
        <v>329</v>
      </c>
      <c r="C22" s="167"/>
      <c r="D22" s="167"/>
      <c r="E22" s="103"/>
    </row>
    <row r="23" spans="1:5" s="178" customFormat="1" ht="12" customHeight="1">
      <c r="A23" s="12" t="s">
        <v>74</v>
      </c>
      <c r="B23" s="180" t="s">
        <v>170</v>
      </c>
      <c r="C23" s="167"/>
      <c r="D23" s="167">
        <v>2203388</v>
      </c>
      <c r="E23" s="103">
        <v>34839847</v>
      </c>
    </row>
    <row r="24" spans="1:5" s="178" customFormat="1" ht="12" customHeight="1" thickBot="1">
      <c r="A24" s="14" t="s">
        <v>81</v>
      </c>
      <c r="B24" s="111" t="s">
        <v>171</v>
      </c>
      <c r="C24" s="169"/>
      <c r="D24" s="169"/>
      <c r="E24" s="105">
        <v>33483682</v>
      </c>
    </row>
    <row r="25" spans="1:5" s="178" customFormat="1" ht="12" customHeight="1" thickBot="1">
      <c r="A25" s="18" t="s">
        <v>8</v>
      </c>
      <c r="B25" s="19" t="s">
        <v>172</v>
      </c>
      <c r="C25" s="166">
        <f>+C26+C27+C28+C29+C30</f>
        <v>0</v>
      </c>
      <c r="D25" s="166">
        <f>+D26+D27+D28+D29+D30</f>
        <v>0</v>
      </c>
      <c r="E25" s="102">
        <f>+E26+E27+E28+E29+E30</f>
        <v>0</v>
      </c>
    </row>
    <row r="26" spans="1:5" s="178" customFormat="1" ht="12" customHeight="1">
      <c r="A26" s="13" t="s">
        <v>53</v>
      </c>
      <c r="B26" s="179" t="s">
        <v>173</v>
      </c>
      <c r="C26" s="168"/>
      <c r="D26" s="168"/>
      <c r="E26" s="104"/>
    </row>
    <row r="27" spans="1:5" s="178" customFormat="1" ht="12" customHeight="1">
      <c r="A27" s="12" t="s">
        <v>54</v>
      </c>
      <c r="B27" s="180" t="s">
        <v>174</v>
      </c>
      <c r="C27" s="167"/>
      <c r="D27" s="167"/>
      <c r="E27" s="103"/>
    </row>
    <row r="28" spans="1:5" s="178" customFormat="1" ht="12" customHeight="1">
      <c r="A28" s="12" t="s">
        <v>55</v>
      </c>
      <c r="B28" s="180" t="s">
        <v>330</v>
      </c>
      <c r="C28" s="167"/>
      <c r="D28" s="167"/>
      <c r="E28" s="103"/>
    </row>
    <row r="29" spans="1:5" s="178" customFormat="1" ht="12" customHeight="1">
      <c r="A29" s="12" t="s">
        <v>56</v>
      </c>
      <c r="B29" s="180" t="s">
        <v>331</v>
      </c>
      <c r="C29" s="167"/>
      <c r="D29" s="167"/>
      <c r="E29" s="103"/>
    </row>
    <row r="30" spans="1:5" s="178" customFormat="1" ht="12" customHeight="1">
      <c r="A30" s="12" t="s">
        <v>112</v>
      </c>
      <c r="B30" s="180" t="s">
        <v>175</v>
      </c>
      <c r="C30" s="167"/>
      <c r="D30" s="167"/>
      <c r="E30" s="103"/>
    </row>
    <row r="31" spans="1:5" s="178" customFormat="1" ht="12" customHeight="1" thickBot="1">
      <c r="A31" s="14" t="s">
        <v>113</v>
      </c>
      <c r="B31" s="181" t="s">
        <v>176</v>
      </c>
      <c r="C31" s="169"/>
      <c r="D31" s="169"/>
      <c r="E31" s="105"/>
    </row>
    <row r="32" spans="1:5" s="178" customFormat="1" ht="12" customHeight="1" thickBot="1">
      <c r="A32" s="18" t="s">
        <v>114</v>
      </c>
      <c r="B32" s="19" t="s">
        <v>487</v>
      </c>
      <c r="C32" s="172">
        <f>SUM(C33:C39)</f>
        <v>0</v>
      </c>
      <c r="D32" s="172">
        <f>SUM(D33:D39)</f>
        <v>0</v>
      </c>
      <c r="E32" s="208">
        <f>SUM(E33:E39)</f>
        <v>0</v>
      </c>
    </row>
    <row r="33" spans="1:5" s="178" customFormat="1" ht="12" customHeight="1">
      <c r="A33" s="13" t="s">
        <v>177</v>
      </c>
      <c r="B33" s="179" t="s">
        <v>488</v>
      </c>
      <c r="C33" s="168">
        <f>+C34+C35+C36</f>
        <v>0</v>
      </c>
      <c r="D33" s="168">
        <f>+D34+D35+D36</f>
        <v>0</v>
      </c>
      <c r="E33" s="104">
        <f>+E34+E35+E36</f>
        <v>0</v>
      </c>
    </row>
    <row r="34" spans="1:5" s="178" customFormat="1" ht="12" customHeight="1">
      <c r="A34" s="12" t="s">
        <v>178</v>
      </c>
      <c r="B34" s="180" t="s">
        <v>489</v>
      </c>
      <c r="C34" s="167"/>
      <c r="D34" s="167"/>
      <c r="E34" s="103"/>
    </row>
    <row r="35" spans="1:5" s="178" customFormat="1" ht="12" customHeight="1">
      <c r="A35" s="12" t="s">
        <v>179</v>
      </c>
      <c r="B35" s="180" t="s">
        <v>490</v>
      </c>
      <c r="C35" s="167"/>
      <c r="D35" s="167"/>
      <c r="E35" s="103"/>
    </row>
    <row r="36" spans="1:5" s="178" customFormat="1" ht="12" customHeight="1">
      <c r="A36" s="12" t="s">
        <v>180</v>
      </c>
      <c r="B36" s="180" t="s">
        <v>491</v>
      </c>
      <c r="C36" s="167"/>
      <c r="D36" s="167"/>
      <c r="E36" s="103"/>
    </row>
    <row r="37" spans="1:5" s="178" customFormat="1" ht="12" customHeight="1">
      <c r="A37" s="12" t="s">
        <v>492</v>
      </c>
      <c r="B37" s="180" t="s">
        <v>181</v>
      </c>
      <c r="C37" s="167"/>
      <c r="D37" s="167"/>
      <c r="E37" s="103"/>
    </row>
    <row r="38" spans="1:5" s="178" customFormat="1" ht="12" customHeight="1">
      <c r="A38" s="12" t="s">
        <v>493</v>
      </c>
      <c r="B38" s="180" t="s">
        <v>182</v>
      </c>
      <c r="C38" s="167"/>
      <c r="D38" s="167"/>
      <c r="E38" s="103"/>
    </row>
    <row r="39" spans="1:5" s="178" customFormat="1" ht="12" customHeight="1" thickBot="1">
      <c r="A39" s="14" t="s">
        <v>494</v>
      </c>
      <c r="B39" s="329" t="s">
        <v>183</v>
      </c>
      <c r="C39" s="169"/>
      <c r="D39" s="169"/>
      <c r="E39" s="105"/>
    </row>
    <row r="40" spans="1:5" s="178" customFormat="1" ht="12" customHeight="1" thickBot="1">
      <c r="A40" s="18" t="s">
        <v>10</v>
      </c>
      <c r="B40" s="19" t="s">
        <v>338</v>
      </c>
      <c r="C40" s="166">
        <f>SUM(C41:C51)</f>
        <v>180000</v>
      </c>
      <c r="D40" s="166">
        <f>SUM(D41:D51)</f>
        <v>507530</v>
      </c>
      <c r="E40" s="102">
        <f>SUM(E41:E51)</f>
        <v>508020</v>
      </c>
    </row>
    <row r="41" spans="1:5" s="178" customFormat="1" ht="12" customHeight="1">
      <c r="A41" s="13" t="s">
        <v>57</v>
      </c>
      <c r="B41" s="179" t="s">
        <v>186</v>
      </c>
      <c r="C41" s="168"/>
      <c r="D41" s="168"/>
      <c r="E41" s="104"/>
    </row>
    <row r="42" spans="1:5" s="178" customFormat="1" ht="12" customHeight="1">
      <c r="A42" s="12" t="s">
        <v>58</v>
      </c>
      <c r="B42" s="180" t="s">
        <v>187</v>
      </c>
      <c r="C42" s="167">
        <v>180000</v>
      </c>
      <c r="D42" s="167">
        <v>244860</v>
      </c>
      <c r="E42" s="103">
        <v>244860</v>
      </c>
    </row>
    <row r="43" spans="1:5" s="178" customFormat="1" ht="12" customHeight="1">
      <c r="A43" s="12" t="s">
        <v>59</v>
      </c>
      <c r="B43" s="180" t="s">
        <v>188</v>
      </c>
      <c r="C43" s="167"/>
      <c r="D43" s="167"/>
      <c r="E43" s="103"/>
    </row>
    <row r="44" spans="1:5" s="178" customFormat="1" ht="12" customHeight="1">
      <c r="A44" s="12" t="s">
        <v>116</v>
      </c>
      <c r="B44" s="180" t="s">
        <v>189</v>
      </c>
      <c r="C44" s="167"/>
      <c r="D44" s="167"/>
      <c r="E44" s="103"/>
    </row>
    <row r="45" spans="1:5" s="178" customFormat="1" ht="12" customHeight="1">
      <c r="A45" s="12" t="s">
        <v>117</v>
      </c>
      <c r="B45" s="180" t="s">
        <v>190</v>
      </c>
      <c r="C45" s="167"/>
      <c r="D45" s="167"/>
      <c r="E45" s="103"/>
    </row>
    <row r="46" spans="1:5" s="178" customFormat="1" ht="12" customHeight="1">
      <c r="A46" s="12" t="s">
        <v>118</v>
      </c>
      <c r="B46" s="180" t="s">
        <v>191</v>
      </c>
      <c r="C46" s="167"/>
      <c r="D46" s="167">
        <v>10911</v>
      </c>
      <c r="E46" s="103">
        <v>10911</v>
      </c>
    </row>
    <row r="47" spans="1:5" s="178" customFormat="1" ht="12" customHeight="1">
      <c r="A47" s="12" t="s">
        <v>119</v>
      </c>
      <c r="B47" s="180" t="s">
        <v>192</v>
      </c>
      <c r="C47" s="167"/>
      <c r="D47" s="167"/>
      <c r="E47" s="103"/>
    </row>
    <row r="48" spans="1:5" s="178" customFormat="1" ht="12" customHeight="1">
      <c r="A48" s="12" t="s">
        <v>120</v>
      </c>
      <c r="B48" s="180" t="s">
        <v>495</v>
      </c>
      <c r="C48" s="167"/>
      <c r="D48" s="167">
        <v>19585</v>
      </c>
      <c r="E48" s="103">
        <v>20075</v>
      </c>
    </row>
    <row r="49" spans="1:5" s="178" customFormat="1" ht="12" customHeight="1">
      <c r="A49" s="12" t="s">
        <v>184</v>
      </c>
      <c r="B49" s="180" t="s">
        <v>194</v>
      </c>
      <c r="C49" s="170"/>
      <c r="D49" s="170"/>
      <c r="E49" s="106"/>
    </row>
    <row r="50" spans="1:5" s="178" customFormat="1" ht="12" customHeight="1">
      <c r="A50" s="14" t="s">
        <v>185</v>
      </c>
      <c r="B50" s="181" t="s">
        <v>340</v>
      </c>
      <c r="C50" s="171"/>
      <c r="D50" s="171"/>
      <c r="E50" s="107"/>
    </row>
    <row r="51" spans="1:5" s="178" customFormat="1" ht="12" customHeight="1" thickBot="1">
      <c r="A51" s="14" t="s">
        <v>339</v>
      </c>
      <c r="B51" s="111" t="s">
        <v>195</v>
      </c>
      <c r="C51" s="171"/>
      <c r="D51" s="171">
        <v>232174</v>
      </c>
      <c r="E51" s="107">
        <v>232174</v>
      </c>
    </row>
    <row r="52" spans="1:5" s="178" customFormat="1" ht="12" customHeight="1" thickBot="1">
      <c r="A52" s="18" t="s">
        <v>11</v>
      </c>
      <c r="B52" s="19" t="s">
        <v>196</v>
      </c>
      <c r="C52" s="166">
        <f>SUM(C53:C57)</f>
        <v>0</v>
      </c>
      <c r="D52" s="166">
        <f>SUM(D53:D57)</f>
        <v>0</v>
      </c>
      <c r="E52" s="102">
        <f>SUM(E53:E57)</f>
        <v>0</v>
      </c>
    </row>
    <row r="53" spans="1:5" s="178" customFormat="1" ht="12" customHeight="1">
      <c r="A53" s="13" t="s">
        <v>60</v>
      </c>
      <c r="B53" s="179" t="s">
        <v>200</v>
      </c>
      <c r="C53" s="219"/>
      <c r="D53" s="219"/>
      <c r="E53" s="108"/>
    </row>
    <row r="54" spans="1:5" s="178" customFormat="1" ht="12" customHeight="1">
      <c r="A54" s="12" t="s">
        <v>61</v>
      </c>
      <c r="B54" s="180" t="s">
        <v>201</v>
      </c>
      <c r="C54" s="170"/>
      <c r="D54" s="170"/>
      <c r="E54" s="106"/>
    </row>
    <row r="55" spans="1:5" s="178" customFormat="1" ht="12" customHeight="1">
      <c r="A55" s="12" t="s">
        <v>197</v>
      </c>
      <c r="B55" s="180" t="s">
        <v>202</v>
      </c>
      <c r="C55" s="170"/>
      <c r="D55" s="170"/>
      <c r="E55" s="106"/>
    </row>
    <row r="56" spans="1:5" s="178" customFormat="1" ht="12" customHeight="1">
      <c r="A56" s="12" t="s">
        <v>198</v>
      </c>
      <c r="B56" s="180" t="s">
        <v>203</v>
      </c>
      <c r="C56" s="170"/>
      <c r="D56" s="170"/>
      <c r="E56" s="106"/>
    </row>
    <row r="57" spans="1:5" s="178" customFormat="1" ht="12" customHeight="1" thickBot="1">
      <c r="A57" s="14" t="s">
        <v>199</v>
      </c>
      <c r="B57" s="111" t="s">
        <v>204</v>
      </c>
      <c r="C57" s="171"/>
      <c r="D57" s="171"/>
      <c r="E57" s="107"/>
    </row>
    <row r="58" spans="1:5" s="178" customFormat="1" ht="12" customHeight="1" thickBot="1">
      <c r="A58" s="18" t="s">
        <v>121</v>
      </c>
      <c r="B58" s="19" t="s">
        <v>205</v>
      </c>
      <c r="C58" s="166">
        <f>SUM(C59:C61)</f>
        <v>0</v>
      </c>
      <c r="D58" s="166">
        <f>SUM(D59:D61)</f>
        <v>0</v>
      </c>
      <c r="E58" s="102">
        <f>SUM(E59:E61)</f>
        <v>0</v>
      </c>
    </row>
    <row r="59" spans="1:5" s="178" customFormat="1" ht="12" customHeight="1">
      <c r="A59" s="13" t="s">
        <v>62</v>
      </c>
      <c r="B59" s="179" t="s">
        <v>206</v>
      </c>
      <c r="C59" s="168"/>
      <c r="D59" s="168"/>
      <c r="E59" s="104"/>
    </row>
    <row r="60" spans="1:5" s="178" customFormat="1" ht="12" customHeight="1">
      <c r="A60" s="12" t="s">
        <v>63</v>
      </c>
      <c r="B60" s="180" t="s">
        <v>332</v>
      </c>
      <c r="C60" s="167"/>
      <c r="D60" s="167"/>
      <c r="E60" s="103"/>
    </row>
    <row r="61" spans="1:5" s="178" customFormat="1" ht="12" customHeight="1">
      <c r="A61" s="12" t="s">
        <v>209</v>
      </c>
      <c r="B61" s="180" t="s">
        <v>207</v>
      </c>
      <c r="C61" s="167"/>
      <c r="D61" s="167"/>
      <c r="E61" s="103"/>
    </row>
    <row r="62" spans="1:5" s="178" customFormat="1" ht="12" customHeight="1" thickBot="1">
      <c r="A62" s="14" t="s">
        <v>210</v>
      </c>
      <c r="B62" s="111" t="s">
        <v>208</v>
      </c>
      <c r="C62" s="169"/>
      <c r="D62" s="169"/>
      <c r="E62" s="105"/>
    </row>
    <row r="63" spans="1:5" s="178" customFormat="1" ht="12" customHeight="1" thickBot="1">
      <c r="A63" s="18" t="s">
        <v>13</v>
      </c>
      <c r="B63" s="109" t="s">
        <v>211</v>
      </c>
      <c r="C63" s="166">
        <f>SUM(C64:C66)</f>
        <v>0</v>
      </c>
      <c r="D63" s="166">
        <f>SUM(D64:D66)</f>
        <v>0</v>
      </c>
      <c r="E63" s="102">
        <f>SUM(E64:E66)</f>
        <v>0</v>
      </c>
    </row>
    <row r="64" spans="1:5" s="178" customFormat="1" ht="12" customHeight="1">
      <c r="A64" s="13" t="s">
        <v>122</v>
      </c>
      <c r="B64" s="179" t="s">
        <v>213</v>
      </c>
      <c r="C64" s="170"/>
      <c r="D64" s="170"/>
      <c r="E64" s="106"/>
    </row>
    <row r="65" spans="1:5" s="178" customFormat="1" ht="12" customHeight="1">
      <c r="A65" s="12" t="s">
        <v>123</v>
      </c>
      <c r="B65" s="180" t="s">
        <v>333</v>
      </c>
      <c r="C65" s="170"/>
      <c r="D65" s="170"/>
      <c r="E65" s="106"/>
    </row>
    <row r="66" spans="1:5" s="178" customFormat="1" ht="12" customHeight="1">
      <c r="A66" s="12" t="s">
        <v>146</v>
      </c>
      <c r="B66" s="180" t="s">
        <v>214</v>
      </c>
      <c r="C66" s="170"/>
      <c r="D66" s="170"/>
      <c r="E66" s="106"/>
    </row>
    <row r="67" spans="1:5" s="178" customFormat="1" ht="12" customHeight="1" thickBot="1">
      <c r="A67" s="14" t="s">
        <v>212</v>
      </c>
      <c r="B67" s="111" t="s">
        <v>215</v>
      </c>
      <c r="C67" s="170"/>
      <c r="D67" s="170"/>
      <c r="E67" s="106"/>
    </row>
    <row r="68" spans="1:5" s="178" customFormat="1" ht="12" customHeight="1" thickBot="1">
      <c r="A68" s="233" t="s">
        <v>380</v>
      </c>
      <c r="B68" s="19" t="s">
        <v>216</v>
      </c>
      <c r="C68" s="172">
        <f>+C11+C18+C25+C32+C40+C52+C58+C63</f>
        <v>180000</v>
      </c>
      <c r="D68" s="172">
        <f>+D11+D18+D25+D32+D40+D52+D58+D63</f>
        <v>2710918</v>
      </c>
      <c r="E68" s="208">
        <f>+E11+E18+E25+E32+E40+E52+E58+E63</f>
        <v>35347867</v>
      </c>
    </row>
    <row r="69" spans="1:5" s="178" customFormat="1" ht="12" customHeight="1" thickBot="1">
      <c r="A69" s="220" t="s">
        <v>217</v>
      </c>
      <c r="B69" s="109" t="s">
        <v>218</v>
      </c>
      <c r="C69" s="166">
        <f>SUM(C70:C72)</f>
        <v>0</v>
      </c>
      <c r="D69" s="166">
        <f>SUM(D70:D72)</f>
        <v>0</v>
      </c>
      <c r="E69" s="102">
        <f>SUM(E70:E72)</f>
        <v>0</v>
      </c>
    </row>
    <row r="70" spans="1:5" s="178" customFormat="1" ht="12" customHeight="1">
      <c r="A70" s="13" t="s">
        <v>246</v>
      </c>
      <c r="B70" s="179" t="s">
        <v>219</v>
      </c>
      <c r="C70" s="170"/>
      <c r="D70" s="170"/>
      <c r="E70" s="106"/>
    </row>
    <row r="71" spans="1:5" s="178" customFormat="1" ht="12" customHeight="1">
      <c r="A71" s="12" t="s">
        <v>255</v>
      </c>
      <c r="B71" s="180" t="s">
        <v>220</v>
      </c>
      <c r="C71" s="170"/>
      <c r="D71" s="170"/>
      <c r="E71" s="106"/>
    </row>
    <row r="72" spans="1:5" s="178" customFormat="1" ht="12" customHeight="1" thickBot="1">
      <c r="A72" s="14" t="s">
        <v>256</v>
      </c>
      <c r="B72" s="229" t="s">
        <v>365</v>
      </c>
      <c r="C72" s="170"/>
      <c r="D72" s="170"/>
      <c r="E72" s="106"/>
    </row>
    <row r="73" spans="1:5" s="178" customFormat="1" ht="12" customHeight="1" thickBot="1">
      <c r="A73" s="220" t="s">
        <v>222</v>
      </c>
      <c r="B73" s="109" t="s">
        <v>223</v>
      </c>
      <c r="C73" s="166">
        <f>SUM(C74:C77)</f>
        <v>0</v>
      </c>
      <c r="D73" s="166">
        <f>SUM(D74:D77)</f>
        <v>0</v>
      </c>
      <c r="E73" s="102">
        <f>SUM(E74:E77)</f>
        <v>0</v>
      </c>
    </row>
    <row r="74" spans="1:5" s="178" customFormat="1" ht="12" customHeight="1">
      <c r="A74" s="13" t="s">
        <v>100</v>
      </c>
      <c r="B74" s="367" t="s">
        <v>224</v>
      </c>
      <c r="C74" s="170"/>
      <c r="D74" s="170"/>
      <c r="E74" s="106"/>
    </row>
    <row r="75" spans="1:5" s="178" customFormat="1" ht="12" customHeight="1">
      <c r="A75" s="12" t="s">
        <v>101</v>
      </c>
      <c r="B75" s="367" t="s">
        <v>502</v>
      </c>
      <c r="C75" s="170"/>
      <c r="D75" s="170"/>
      <c r="E75" s="106"/>
    </row>
    <row r="76" spans="1:5" s="178" customFormat="1" ht="12" customHeight="1">
      <c r="A76" s="12" t="s">
        <v>247</v>
      </c>
      <c r="B76" s="367" t="s">
        <v>225</v>
      </c>
      <c r="C76" s="170"/>
      <c r="D76" s="170"/>
      <c r="E76" s="106"/>
    </row>
    <row r="77" spans="1:5" s="178" customFormat="1" ht="12" customHeight="1" thickBot="1">
      <c r="A77" s="14" t="s">
        <v>248</v>
      </c>
      <c r="B77" s="368" t="s">
        <v>503</v>
      </c>
      <c r="C77" s="170"/>
      <c r="D77" s="170"/>
      <c r="E77" s="106"/>
    </row>
    <row r="78" spans="1:5" s="178" customFormat="1" ht="12" customHeight="1" thickBot="1">
      <c r="A78" s="220" t="s">
        <v>226</v>
      </c>
      <c r="B78" s="109" t="s">
        <v>227</v>
      </c>
      <c r="C78" s="166">
        <f>SUM(C79:C80)</f>
        <v>0</v>
      </c>
      <c r="D78" s="166">
        <f>SUM(D79:D80)</f>
        <v>9216009</v>
      </c>
      <c r="E78" s="102">
        <f>SUM(E79:E80)</f>
        <v>9259589</v>
      </c>
    </row>
    <row r="79" spans="1:5" s="178" customFormat="1" ht="12" customHeight="1">
      <c r="A79" s="13" t="s">
        <v>249</v>
      </c>
      <c r="B79" s="179" t="s">
        <v>228</v>
      </c>
      <c r="C79" s="170"/>
      <c r="D79" s="170">
        <v>9216009</v>
      </c>
      <c r="E79" s="106">
        <v>9259589</v>
      </c>
    </row>
    <row r="80" spans="1:5" s="178" customFormat="1" ht="12" customHeight="1" thickBot="1">
      <c r="A80" s="14" t="s">
        <v>250</v>
      </c>
      <c r="B80" s="111" t="s">
        <v>229</v>
      </c>
      <c r="C80" s="170"/>
      <c r="D80" s="170"/>
      <c r="E80" s="106"/>
    </row>
    <row r="81" spans="1:5" s="178" customFormat="1" ht="12" customHeight="1" thickBot="1">
      <c r="A81" s="220" t="s">
        <v>230</v>
      </c>
      <c r="B81" s="109" t="s">
        <v>231</v>
      </c>
      <c r="C81" s="166">
        <f>SUM(C82:C84)</f>
        <v>60076119</v>
      </c>
      <c r="D81" s="166">
        <f>SUM(D82:D84)</f>
        <v>68813497</v>
      </c>
      <c r="E81" s="102">
        <f>SUM(E82:E84)</f>
        <v>68813497</v>
      </c>
    </row>
    <row r="82" spans="1:5" s="178" customFormat="1" ht="12" customHeight="1">
      <c r="A82" s="13" t="s">
        <v>251</v>
      </c>
      <c r="B82" s="179" t="s">
        <v>232</v>
      </c>
      <c r="C82" s="170"/>
      <c r="D82" s="170"/>
      <c r="E82" s="106"/>
    </row>
    <row r="83" spans="1:5" s="178" customFormat="1" ht="12" customHeight="1">
      <c r="A83" s="12" t="s">
        <v>252</v>
      </c>
      <c r="B83" s="180" t="s">
        <v>233</v>
      </c>
      <c r="C83" s="170"/>
      <c r="D83" s="170"/>
      <c r="E83" s="106"/>
    </row>
    <row r="84" spans="1:5" s="178" customFormat="1" ht="12" customHeight="1" thickBot="1">
      <c r="A84" s="14" t="s">
        <v>253</v>
      </c>
      <c r="B84" s="769" t="s">
        <v>900</v>
      </c>
      <c r="C84" s="170">
        <v>60076119</v>
      </c>
      <c r="D84" s="170">
        <v>68813497</v>
      </c>
      <c r="E84" s="106">
        <v>68813497</v>
      </c>
    </row>
    <row r="85" spans="1:5" s="178" customFormat="1" ht="12" customHeight="1" thickBot="1">
      <c r="A85" s="220" t="s">
        <v>234</v>
      </c>
      <c r="B85" s="109" t="s">
        <v>254</v>
      </c>
      <c r="C85" s="166">
        <f>SUM(C86:C89)</f>
        <v>0</v>
      </c>
      <c r="D85" s="166">
        <f>SUM(D86:D89)</f>
        <v>0</v>
      </c>
      <c r="E85" s="102">
        <f>SUM(E86:E89)</f>
        <v>0</v>
      </c>
    </row>
    <row r="86" spans="1:5" s="178" customFormat="1" ht="12" customHeight="1">
      <c r="A86" s="183" t="s">
        <v>235</v>
      </c>
      <c r="B86" s="179" t="s">
        <v>236</v>
      </c>
      <c r="C86" s="170"/>
      <c r="D86" s="170"/>
      <c r="E86" s="106"/>
    </row>
    <row r="87" spans="1:5" s="178" customFormat="1" ht="12" customHeight="1">
      <c r="A87" s="184" t="s">
        <v>237</v>
      </c>
      <c r="B87" s="180" t="s">
        <v>238</v>
      </c>
      <c r="C87" s="170"/>
      <c r="D87" s="170"/>
      <c r="E87" s="106"/>
    </row>
    <row r="88" spans="1:5" s="178" customFormat="1" ht="12" customHeight="1">
      <c r="A88" s="184" t="s">
        <v>239</v>
      </c>
      <c r="B88" s="180" t="s">
        <v>240</v>
      </c>
      <c r="C88" s="170"/>
      <c r="D88" s="170"/>
      <c r="E88" s="106"/>
    </row>
    <row r="89" spans="1:5" s="178" customFormat="1" ht="12" customHeight="1" thickBot="1">
      <c r="A89" s="185" t="s">
        <v>241</v>
      </c>
      <c r="B89" s="111" t="s">
        <v>242</v>
      </c>
      <c r="C89" s="170"/>
      <c r="D89" s="170"/>
      <c r="E89" s="106"/>
    </row>
    <row r="90" spans="1:5" s="178" customFormat="1" ht="12" customHeight="1" thickBot="1">
      <c r="A90" s="220" t="s">
        <v>243</v>
      </c>
      <c r="B90" s="109" t="s">
        <v>379</v>
      </c>
      <c r="C90" s="222"/>
      <c r="D90" s="222"/>
      <c r="E90" s="223"/>
    </row>
    <row r="91" spans="1:5" s="178" customFormat="1" ht="13.5" customHeight="1" thickBot="1">
      <c r="A91" s="220" t="s">
        <v>245</v>
      </c>
      <c r="B91" s="109" t="s">
        <v>244</v>
      </c>
      <c r="C91" s="222"/>
      <c r="D91" s="222"/>
      <c r="E91" s="223"/>
    </row>
    <row r="92" spans="1:5" s="178" customFormat="1" ht="15.75" customHeight="1" thickBot="1">
      <c r="A92" s="220" t="s">
        <v>257</v>
      </c>
      <c r="B92" s="186" t="s">
        <v>382</v>
      </c>
      <c r="C92" s="172">
        <f>+C69+C73+C78+C81+C85+C91+C90</f>
        <v>60076119</v>
      </c>
      <c r="D92" s="172">
        <f>+D69+D73+D78+D81+D85+D91+D90</f>
        <v>78029506</v>
      </c>
      <c r="E92" s="208">
        <f>+E69+E73+E78+E81+E85+E91+E90</f>
        <v>78073086</v>
      </c>
    </row>
    <row r="93" spans="1:5" s="178" customFormat="1" ht="25.5" customHeight="1" thickBot="1">
      <c r="A93" s="221" t="s">
        <v>381</v>
      </c>
      <c r="B93" s="187" t="s">
        <v>383</v>
      </c>
      <c r="C93" s="172">
        <f>+C68+C92</f>
        <v>60256119</v>
      </c>
      <c r="D93" s="172">
        <f>+D68+D92</f>
        <v>80740424</v>
      </c>
      <c r="E93" s="208">
        <f>+E68+E92</f>
        <v>113420953</v>
      </c>
    </row>
    <row r="94" spans="1:3" s="178" customFormat="1" ht="15" customHeight="1">
      <c r="A94" s="3"/>
      <c r="B94" s="4"/>
      <c r="C94" s="113"/>
    </row>
    <row r="95" spans="1:5" ht="16.5" customHeight="1">
      <c r="A95" s="810" t="s">
        <v>34</v>
      </c>
      <c r="B95" s="810"/>
      <c r="C95" s="810"/>
      <c r="D95" s="810"/>
      <c r="E95" s="810"/>
    </row>
    <row r="96" spans="1:5" s="188" customFormat="1" ht="16.5" customHeight="1" thickBot="1">
      <c r="A96" s="812" t="s">
        <v>103</v>
      </c>
      <c r="B96" s="812"/>
      <c r="C96" s="60"/>
      <c r="E96" s="60" t="str">
        <f>E7</f>
        <v> Forintban!</v>
      </c>
    </row>
    <row r="97" spans="1:5" ht="15.75">
      <c r="A97" s="801" t="s">
        <v>52</v>
      </c>
      <c r="B97" s="803" t="s">
        <v>423</v>
      </c>
      <c r="C97" s="805" t="str">
        <f>+CONCATENATE(LEFT(Z_ÖSSZEFÜGGÉSEK!A6,4),". évi")</f>
        <v>2018. évi</v>
      </c>
      <c r="D97" s="806"/>
      <c r="E97" s="807"/>
    </row>
    <row r="98" spans="1:5" ht="24.75" thickBot="1">
      <c r="A98" s="802"/>
      <c r="B98" s="804"/>
      <c r="C98" s="250" t="s">
        <v>421</v>
      </c>
      <c r="D98" s="249" t="s">
        <v>422</v>
      </c>
      <c r="E98" s="369" t="str">
        <f>CONCATENATE(E9)</f>
        <v>2018. XII. 31.
teljesítés</v>
      </c>
    </row>
    <row r="99" spans="1:5" s="177" customFormat="1" ht="12" customHeight="1" thickBot="1">
      <c r="A99" s="25" t="s">
        <v>388</v>
      </c>
      <c r="B99" s="26" t="s">
        <v>389</v>
      </c>
      <c r="C99" s="26" t="s">
        <v>390</v>
      </c>
      <c r="D99" s="26" t="s">
        <v>392</v>
      </c>
      <c r="E99" s="261" t="s">
        <v>391</v>
      </c>
    </row>
    <row r="100" spans="1:5" ht="12" customHeight="1" thickBot="1">
      <c r="A100" s="20" t="s">
        <v>6</v>
      </c>
      <c r="B100" s="24" t="s">
        <v>341</v>
      </c>
      <c r="C100" s="165">
        <f>C101+C102+C103+C104+C105+C118</f>
        <v>60256119</v>
      </c>
      <c r="D100" s="165">
        <f>D101+D102+D103+D104+D105+D118</f>
        <v>77929030</v>
      </c>
      <c r="E100" s="236">
        <f>E101+E102+E103+E104+E105+E118</f>
        <v>73215454</v>
      </c>
    </row>
    <row r="101" spans="1:5" ht="12" customHeight="1">
      <c r="A101" s="15" t="s">
        <v>64</v>
      </c>
      <c r="B101" s="8" t="s">
        <v>35</v>
      </c>
      <c r="C101" s="243">
        <v>43173266</v>
      </c>
      <c r="D101" s="243">
        <v>56902153</v>
      </c>
      <c r="E101" s="237">
        <v>53975967</v>
      </c>
    </row>
    <row r="102" spans="1:5" ht="12" customHeight="1">
      <c r="A102" s="12" t="s">
        <v>65</v>
      </c>
      <c r="B102" s="6" t="s">
        <v>124</v>
      </c>
      <c r="C102" s="167">
        <v>8703931</v>
      </c>
      <c r="D102" s="167">
        <v>11073774</v>
      </c>
      <c r="E102" s="103">
        <v>11073774</v>
      </c>
    </row>
    <row r="103" spans="1:5" ht="12" customHeight="1">
      <c r="A103" s="12" t="s">
        <v>66</v>
      </c>
      <c r="B103" s="6" t="s">
        <v>92</v>
      </c>
      <c r="C103" s="169">
        <v>8378922</v>
      </c>
      <c r="D103" s="169">
        <v>9953103</v>
      </c>
      <c r="E103" s="105">
        <v>8165713</v>
      </c>
    </row>
    <row r="104" spans="1:5" ht="12" customHeight="1">
      <c r="A104" s="12" t="s">
        <v>67</v>
      </c>
      <c r="B104" s="9" t="s">
        <v>125</v>
      </c>
      <c r="C104" s="169"/>
      <c r="D104" s="169"/>
      <c r="E104" s="105"/>
    </row>
    <row r="105" spans="1:5" ht="12" customHeight="1">
      <c r="A105" s="12" t="s">
        <v>76</v>
      </c>
      <c r="B105" s="17" t="s">
        <v>126</v>
      </c>
      <c r="C105" s="169"/>
      <c r="D105" s="169"/>
      <c r="E105" s="105"/>
    </row>
    <row r="106" spans="1:5" ht="12" customHeight="1">
      <c r="A106" s="12" t="s">
        <v>68</v>
      </c>
      <c r="B106" s="6" t="s">
        <v>346</v>
      </c>
      <c r="C106" s="169"/>
      <c r="D106" s="169"/>
      <c r="E106" s="105"/>
    </row>
    <row r="107" spans="1:5" ht="12" customHeight="1">
      <c r="A107" s="12" t="s">
        <v>69</v>
      </c>
      <c r="B107" s="64" t="s">
        <v>345</v>
      </c>
      <c r="C107" s="169"/>
      <c r="D107" s="169"/>
      <c r="E107" s="105"/>
    </row>
    <row r="108" spans="1:5" ht="12" customHeight="1">
      <c r="A108" s="12" t="s">
        <v>77</v>
      </c>
      <c r="B108" s="64" t="s">
        <v>344</v>
      </c>
      <c r="C108" s="169"/>
      <c r="D108" s="169"/>
      <c r="E108" s="105"/>
    </row>
    <row r="109" spans="1:5" ht="12" customHeight="1">
      <c r="A109" s="12" t="s">
        <v>78</v>
      </c>
      <c r="B109" s="62" t="s">
        <v>260</v>
      </c>
      <c r="C109" s="169"/>
      <c r="D109" s="169"/>
      <c r="E109" s="105"/>
    </row>
    <row r="110" spans="1:5" ht="12" customHeight="1">
      <c r="A110" s="12" t="s">
        <v>79</v>
      </c>
      <c r="B110" s="63" t="s">
        <v>261</v>
      </c>
      <c r="C110" s="169"/>
      <c r="D110" s="169"/>
      <c r="E110" s="105"/>
    </row>
    <row r="111" spans="1:5" ht="12" customHeight="1">
      <c r="A111" s="12" t="s">
        <v>80</v>
      </c>
      <c r="B111" s="63" t="s">
        <v>262</v>
      </c>
      <c r="C111" s="169"/>
      <c r="D111" s="169"/>
      <c r="E111" s="105"/>
    </row>
    <row r="112" spans="1:5" ht="12" customHeight="1">
      <c r="A112" s="12" t="s">
        <v>82</v>
      </c>
      <c r="B112" s="62" t="s">
        <v>263</v>
      </c>
      <c r="C112" s="169"/>
      <c r="D112" s="169"/>
      <c r="E112" s="105"/>
    </row>
    <row r="113" spans="1:5" ht="12" customHeight="1">
      <c r="A113" s="12" t="s">
        <v>127</v>
      </c>
      <c r="B113" s="62" t="s">
        <v>264</v>
      </c>
      <c r="C113" s="169"/>
      <c r="D113" s="169"/>
      <c r="E113" s="105"/>
    </row>
    <row r="114" spans="1:5" ht="12" customHeight="1">
      <c r="A114" s="12" t="s">
        <v>258</v>
      </c>
      <c r="B114" s="63" t="s">
        <v>265</v>
      </c>
      <c r="C114" s="169"/>
      <c r="D114" s="169"/>
      <c r="E114" s="105"/>
    </row>
    <row r="115" spans="1:5" ht="12" customHeight="1">
      <c r="A115" s="11" t="s">
        <v>259</v>
      </c>
      <c r="B115" s="64" t="s">
        <v>266</v>
      </c>
      <c r="C115" s="169"/>
      <c r="D115" s="169"/>
      <c r="E115" s="105"/>
    </row>
    <row r="116" spans="1:5" ht="12" customHeight="1">
      <c r="A116" s="12" t="s">
        <v>342</v>
      </c>
      <c r="B116" s="64" t="s">
        <v>267</v>
      </c>
      <c r="C116" s="169"/>
      <c r="D116" s="169"/>
      <c r="E116" s="105"/>
    </row>
    <row r="117" spans="1:5" ht="12" customHeight="1">
      <c r="A117" s="14" t="s">
        <v>343</v>
      </c>
      <c r="B117" s="64" t="s">
        <v>268</v>
      </c>
      <c r="C117" s="169"/>
      <c r="D117" s="169"/>
      <c r="E117" s="105"/>
    </row>
    <row r="118" spans="1:5" ht="12" customHeight="1">
      <c r="A118" s="12" t="s">
        <v>347</v>
      </c>
      <c r="B118" s="9" t="s">
        <v>36</v>
      </c>
      <c r="C118" s="167"/>
      <c r="D118" s="167"/>
      <c r="E118" s="103"/>
    </row>
    <row r="119" spans="1:5" ht="12" customHeight="1">
      <c r="A119" s="12" t="s">
        <v>348</v>
      </c>
      <c r="B119" s="6" t="s">
        <v>350</v>
      </c>
      <c r="C119" s="167"/>
      <c r="D119" s="167"/>
      <c r="E119" s="103"/>
    </row>
    <row r="120" spans="1:5" ht="12" customHeight="1" thickBot="1">
      <c r="A120" s="16" t="s">
        <v>349</v>
      </c>
      <c r="B120" s="232" t="s">
        <v>351</v>
      </c>
      <c r="C120" s="244"/>
      <c r="D120" s="244"/>
      <c r="E120" s="238"/>
    </row>
    <row r="121" spans="1:5" ht="12" customHeight="1" thickBot="1">
      <c r="A121" s="230" t="s">
        <v>7</v>
      </c>
      <c r="B121" s="231" t="s">
        <v>269</v>
      </c>
      <c r="C121" s="245">
        <f>+C122+C124+C126</f>
        <v>0</v>
      </c>
      <c r="D121" s="166">
        <f>+D122+D124+D126</f>
        <v>2811394</v>
      </c>
      <c r="E121" s="239">
        <f>+E122+E124+E126</f>
        <v>2811394</v>
      </c>
    </row>
    <row r="122" spans="1:5" ht="12" customHeight="1">
      <c r="A122" s="13" t="s">
        <v>70</v>
      </c>
      <c r="B122" s="6" t="s">
        <v>145</v>
      </c>
      <c r="C122" s="168"/>
      <c r="D122" s="254">
        <v>2811394</v>
      </c>
      <c r="E122" s="104">
        <v>2811394</v>
      </c>
    </row>
    <row r="123" spans="1:5" ht="12" customHeight="1">
      <c r="A123" s="13" t="s">
        <v>71</v>
      </c>
      <c r="B123" s="10" t="s">
        <v>273</v>
      </c>
      <c r="C123" s="168"/>
      <c r="D123" s="254"/>
      <c r="E123" s="104">
        <v>2219355</v>
      </c>
    </row>
    <row r="124" spans="1:5" ht="12" customHeight="1">
      <c r="A124" s="13" t="s">
        <v>72</v>
      </c>
      <c r="B124" s="10" t="s">
        <v>128</v>
      </c>
      <c r="C124" s="167"/>
      <c r="D124" s="255"/>
      <c r="E124" s="103"/>
    </row>
    <row r="125" spans="1:5" ht="12" customHeight="1">
      <c r="A125" s="13" t="s">
        <v>73</v>
      </c>
      <c r="B125" s="10" t="s">
        <v>274</v>
      </c>
      <c r="C125" s="167"/>
      <c r="D125" s="255"/>
      <c r="E125" s="103"/>
    </row>
    <row r="126" spans="1:5" ht="12" customHeight="1">
      <c r="A126" s="13" t="s">
        <v>74</v>
      </c>
      <c r="B126" s="111" t="s">
        <v>147</v>
      </c>
      <c r="C126" s="167"/>
      <c r="D126" s="255"/>
      <c r="E126" s="103"/>
    </row>
    <row r="127" spans="1:5" ht="12" customHeight="1">
      <c r="A127" s="13" t="s">
        <v>81</v>
      </c>
      <c r="B127" s="110" t="s">
        <v>334</v>
      </c>
      <c r="C127" s="167"/>
      <c r="D127" s="255"/>
      <c r="E127" s="103"/>
    </row>
    <row r="128" spans="1:5" ht="12" customHeight="1">
      <c r="A128" s="13" t="s">
        <v>83</v>
      </c>
      <c r="B128" s="175" t="s">
        <v>279</v>
      </c>
      <c r="C128" s="167"/>
      <c r="D128" s="255"/>
      <c r="E128" s="103"/>
    </row>
    <row r="129" spans="1:5" ht="15.75">
      <c r="A129" s="13" t="s">
        <v>129</v>
      </c>
      <c r="B129" s="63" t="s">
        <v>262</v>
      </c>
      <c r="C129" s="167"/>
      <c r="D129" s="255"/>
      <c r="E129" s="103"/>
    </row>
    <row r="130" spans="1:5" ht="12" customHeight="1">
      <c r="A130" s="13" t="s">
        <v>130</v>
      </c>
      <c r="B130" s="63" t="s">
        <v>278</v>
      </c>
      <c r="C130" s="167"/>
      <c r="D130" s="255"/>
      <c r="E130" s="103"/>
    </row>
    <row r="131" spans="1:5" ht="12" customHeight="1">
      <c r="A131" s="13" t="s">
        <v>131</v>
      </c>
      <c r="B131" s="63" t="s">
        <v>277</v>
      </c>
      <c r="C131" s="167"/>
      <c r="D131" s="255"/>
      <c r="E131" s="103"/>
    </row>
    <row r="132" spans="1:5" ht="12" customHeight="1">
      <c r="A132" s="13" t="s">
        <v>270</v>
      </c>
      <c r="B132" s="63" t="s">
        <v>265</v>
      </c>
      <c r="C132" s="167"/>
      <c r="D132" s="255"/>
      <c r="E132" s="103"/>
    </row>
    <row r="133" spans="1:5" ht="12" customHeight="1">
      <c r="A133" s="13" t="s">
        <v>271</v>
      </c>
      <c r="B133" s="63" t="s">
        <v>276</v>
      </c>
      <c r="C133" s="167"/>
      <c r="D133" s="255"/>
      <c r="E133" s="103"/>
    </row>
    <row r="134" spans="1:5" ht="16.5" thickBot="1">
      <c r="A134" s="11" t="s">
        <v>272</v>
      </c>
      <c r="B134" s="63" t="s">
        <v>275</v>
      </c>
      <c r="C134" s="169"/>
      <c r="D134" s="256"/>
      <c r="E134" s="105"/>
    </row>
    <row r="135" spans="1:5" ht="12" customHeight="1" thickBot="1">
      <c r="A135" s="18" t="s">
        <v>8</v>
      </c>
      <c r="B135" s="56" t="s">
        <v>352</v>
      </c>
      <c r="C135" s="166">
        <f>+C100+C121</f>
        <v>60256119</v>
      </c>
      <c r="D135" s="253">
        <f>+D100+D121</f>
        <v>80740424</v>
      </c>
      <c r="E135" s="102">
        <f>+E100+E121</f>
        <v>76026848</v>
      </c>
    </row>
    <row r="136" spans="1:5" ht="12" customHeight="1" thickBot="1">
      <c r="A136" s="18" t="s">
        <v>9</v>
      </c>
      <c r="B136" s="56" t="s">
        <v>424</v>
      </c>
      <c r="C136" s="166">
        <f>+C137+C138+C139</f>
        <v>0</v>
      </c>
      <c r="D136" s="253">
        <f>+D137+D138+D139</f>
        <v>0</v>
      </c>
      <c r="E136" s="102">
        <f>+E137+E138+E139</f>
        <v>0</v>
      </c>
    </row>
    <row r="137" spans="1:5" ht="12" customHeight="1">
      <c r="A137" s="13" t="s">
        <v>177</v>
      </c>
      <c r="B137" s="10" t="s">
        <v>360</v>
      </c>
      <c r="C137" s="167"/>
      <c r="D137" s="255"/>
      <c r="E137" s="103"/>
    </row>
    <row r="138" spans="1:5" ht="12" customHeight="1">
      <c r="A138" s="13" t="s">
        <v>178</v>
      </c>
      <c r="B138" s="10" t="s">
        <v>361</v>
      </c>
      <c r="C138" s="167"/>
      <c r="D138" s="255"/>
      <c r="E138" s="103"/>
    </row>
    <row r="139" spans="1:5" ht="12" customHeight="1" thickBot="1">
      <c r="A139" s="11" t="s">
        <v>179</v>
      </c>
      <c r="B139" s="10" t="s">
        <v>362</v>
      </c>
      <c r="C139" s="167"/>
      <c r="D139" s="255"/>
      <c r="E139" s="103"/>
    </row>
    <row r="140" spans="1:5" ht="12" customHeight="1" thickBot="1">
      <c r="A140" s="18" t="s">
        <v>10</v>
      </c>
      <c r="B140" s="56" t="s">
        <v>354</v>
      </c>
      <c r="C140" s="166">
        <f>SUM(C141:C146)</f>
        <v>0</v>
      </c>
      <c r="D140" s="253">
        <f>SUM(D141:D146)</f>
        <v>0</v>
      </c>
      <c r="E140" s="102">
        <f>SUM(E141:E146)</f>
        <v>0</v>
      </c>
    </row>
    <row r="141" spans="1:5" ht="12" customHeight="1">
      <c r="A141" s="13" t="s">
        <v>57</v>
      </c>
      <c r="B141" s="7" t="s">
        <v>363</v>
      </c>
      <c r="C141" s="167"/>
      <c r="D141" s="255"/>
      <c r="E141" s="103"/>
    </row>
    <row r="142" spans="1:5" ht="12" customHeight="1">
      <c r="A142" s="13" t="s">
        <v>58</v>
      </c>
      <c r="B142" s="7" t="s">
        <v>355</v>
      </c>
      <c r="C142" s="167"/>
      <c r="D142" s="255"/>
      <c r="E142" s="103"/>
    </row>
    <row r="143" spans="1:5" ht="12" customHeight="1">
      <c r="A143" s="13" t="s">
        <v>59</v>
      </c>
      <c r="B143" s="7" t="s">
        <v>356</v>
      </c>
      <c r="C143" s="167"/>
      <c r="D143" s="255"/>
      <c r="E143" s="103"/>
    </row>
    <row r="144" spans="1:5" ht="12" customHeight="1">
      <c r="A144" s="13" t="s">
        <v>116</v>
      </c>
      <c r="B144" s="7" t="s">
        <v>357</v>
      </c>
      <c r="C144" s="167"/>
      <c r="D144" s="255"/>
      <c r="E144" s="103"/>
    </row>
    <row r="145" spans="1:5" ht="12" customHeight="1">
      <c r="A145" s="13" t="s">
        <v>117</v>
      </c>
      <c r="B145" s="7" t="s">
        <v>358</v>
      </c>
      <c r="C145" s="167"/>
      <c r="D145" s="255"/>
      <c r="E145" s="103"/>
    </row>
    <row r="146" spans="1:5" ht="12" customHeight="1" thickBot="1">
      <c r="A146" s="16" t="s">
        <v>118</v>
      </c>
      <c r="B146" s="379" t="s">
        <v>359</v>
      </c>
      <c r="C146" s="244"/>
      <c r="D146" s="320"/>
      <c r="E146" s="238"/>
    </row>
    <row r="147" spans="1:5" ht="12" customHeight="1" thickBot="1">
      <c r="A147" s="18" t="s">
        <v>11</v>
      </c>
      <c r="B147" s="56" t="s">
        <v>367</v>
      </c>
      <c r="C147" s="172">
        <f>+C148+C149+C150+C151</f>
        <v>0</v>
      </c>
      <c r="D147" s="257">
        <f>+D148+D149+D150+D151</f>
        <v>0</v>
      </c>
      <c r="E147" s="208">
        <f>+E148+E149+E150+E151</f>
        <v>0</v>
      </c>
    </row>
    <row r="148" spans="1:5" ht="12" customHeight="1">
      <c r="A148" s="13" t="s">
        <v>60</v>
      </c>
      <c r="B148" s="7" t="s">
        <v>280</v>
      </c>
      <c r="C148" s="167"/>
      <c r="D148" s="255"/>
      <c r="E148" s="103"/>
    </row>
    <row r="149" spans="1:5" ht="12" customHeight="1">
      <c r="A149" s="13" t="s">
        <v>61</v>
      </c>
      <c r="B149" s="7" t="s">
        <v>281</v>
      </c>
      <c r="C149" s="167"/>
      <c r="D149" s="255"/>
      <c r="E149" s="103"/>
    </row>
    <row r="150" spans="1:5" ht="12" customHeight="1">
      <c r="A150" s="13" t="s">
        <v>197</v>
      </c>
      <c r="B150" s="7" t="s">
        <v>368</v>
      </c>
      <c r="C150" s="167"/>
      <c r="D150" s="255"/>
      <c r="E150" s="103"/>
    </row>
    <row r="151" spans="1:5" ht="12" customHeight="1" thickBot="1">
      <c r="A151" s="11" t="s">
        <v>198</v>
      </c>
      <c r="B151" s="5" t="s">
        <v>297</v>
      </c>
      <c r="C151" s="167"/>
      <c r="D151" s="255"/>
      <c r="E151" s="103"/>
    </row>
    <row r="152" spans="1:5" ht="12" customHeight="1" thickBot="1">
      <c r="A152" s="18" t="s">
        <v>12</v>
      </c>
      <c r="B152" s="56" t="s">
        <v>369</v>
      </c>
      <c r="C152" s="246">
        <f>SUM(C153:C157)</f>
        <v>0</v>
      </c>
      <c r="D152" s="258">
        <f>SUM(D153:D157)</f>
        <v>0</v>
      </c>
      <c r="E152" s="240">
        <f>SUM(E153:E157)</f>
        <v>0</v>
      </c>
    </row>
    <row r="153" spans="1:5" ht="12" customHeight="1">
      <c r="A153" s="13" t="s">
        <v>62</v>
      </c>
      <c r="B153" s="7" t="s">
        <v>364</v>
      </c>
      <c r="C153" s="167"/>
      <c r="D153" s="255"/>
      <c r="E153" s="103"/>
    </row>
    <row r="154" spans="1:5" ht="12" customHeight="1">
      <c r="A154" s="13" t="s">
        <v>63</v>
      </c>
      <c r="B154" s="7" t="s">
        <v>371</v>
      </c>
      <c r="C154" s="167"/>
      <c r="D154" s="255"/>
      <c r="E154" s="103"/>
    </row>
    <row r="155" spans="1:5" ht="12" customHeight="1">
      <c r="A155" s="13" t="s">
        <v>209</v>
      </c>
      <c r="B155" s="7" t="s">
        <v>366</v>
      </c>
      <c r="C155" s="167"/>
      <c r="D155" s="255"/>
      <c r="E155" s="103"/>
    </row>
    <row r="156" spans="1:5" ht="12" customHeight="1">
      <c r="A156" s="13" t="s">
        <v>210</v>
      </c>
      <c r="B156" s="7" t="s">
        <v>372</v>
      </c>
      <c r="C156" s="167"/>
      <c r="D156" s="255"/>
      <c r="E156" s="103"/>
    </row>
    <row r="157" spans="1:5" ht="12" customHeight="1" thickBot="1">
      <c r="A157" s="13" t="s">
        <v>370</v>
      </c>
      <c r="B157" s="7" t="s">
        <v>373</v>
      </c>
      <c r="C157" s="167"/>
      <c r="D157" s="255"/>
      <c r="E157" s="103"/>
    </row>
    <row r="158" spans="1:5" ht="12" customHeight="1" thickBot="1">
      <c r="A158" s="18" t="s">
        <v>13</v>
      </c>
      <c r="B158" s="56" t="s">
        <v>374</v>
      </c>
      <c r="C158" s="247"/>
      <c r="D158" s="259"/>
      <c r="E158" s="241"/>
    </row>
    <row r="159" spans="1:5" ht="12" customHeight="1" thickBot="1">
      <c r="A159" s="18" t="s">
        <v>14</v>
      </c>
      <c r="B159" s="56" t="s">
        <v>375</v>
      </c>
      <c r="C159" s="247"/>
      <c r="D159" s="259"/>
      <c r="E159" s="241"/>
    </row>
    <row r="160" spans="1:9" ht="15" customHeight="1" thickBot="1">
      <c r="A160" s="18" t="s">
        <v>15</v>
      </c>
      <c r="B160" s="56" t="s">
        <v>377</v>
      </c>
      <c r="C160" s="248">
        <f>+C136+C140+C147+C152+C158+C159</f>
        <v>0</v>
      </c>
      <c r="D160" s="260">
        <f>+D136+D140+D147+D152+D158+D159</f>
        <v>0</v>
      </c>
      <c r="E160" s="242">
        <f>+E136+E140+E147+E152+E158+E159</f>
        <v>0</v>
      </c>
      <c r="F160" s="189"/>
      <c r="G160" s="190"/>
      <c r="H160" s="190"/>
      <c r="I160" s="190"/>
    </row>
    <row r="161" spans="1:5" s="178" customFormat="1" ht="12.75" customHeight="1" thickBot="1">
      <c r="A161" s="112" t="s">
        <v>16</v>
      </c>
      <c r="B161" s="153" t="s">
        <v>376</v>
      </c>
      <c r="C161" s="248">
        <f>+C135+C160</f>
        <v>60256119</v>
      </c>
      <c r="D161" s="260">
        <f>+D135+D160</f>
        <v>80740424</v>
      </c>
      <c r="E161" s="242">
        <f>+E135+E160</f>
        <v>76026848</v>
      </c>
    </row>
    <row r="162" spans="3:4" ht="15.75">
      <c r="C162" s="726">
        <f>C93-C161</f>
        <v>0</v>
      </c>
      <c r="D162" s="726">
        <f>D93-D161</f>
        <v>0</v>
      </c>
    </row>
    <row r="163" spans="1:5" ht="15.75">
      <c r="A163" s="808" t="s">
        <v>282</v>
      </c>
      <c r="B163" s="808"/>
      <c r="C163" s="808"/>
      <c r="D163" s="808"/>
      <c r="E163" s="808"/>
    </row>
    <row r="164" spans="1:5" ht="15" customHeight="1" thickBot="1">
      <c r="A164" s="800" t="s">
        <v>104</v>
      </c>
      <c r="B164" s="800"/>
      <c r="C164" s="114"/>
      <c r="E164" s="114" t="str">
        <f>E96</f>
        <v> Forintban!</v>
      </c>
    </row>
    <row r="165" spans="1:5" ht="25.5" customHeight="1" thickBot="1">
      <c r="A165" s="18">
        <v>1</v>
      </c>
      <c r="B165" s="23" t="s">
        <v>378</v>
      </c>
      <c r="C165" s="252">
        <f>+C68-C135</f>
        <v>-60076119</v>
      </c>
      <c r="D165" s="166">
        <f>+D68-D135</f>
        <v>-78029506</v>
      </c>
      <c r="E165" s="102">
        <f>+E68-E135</f>
        <v>-40678981</v>
      </c>
    </row>
    <row r="166" spans="1:5" ht="32.25" customHeight="1" thickBot="1">
      <c r="A166" s="18" t="s">
        <v>7</v>
      </c>
      <c r="B166" s="23" t="s">
        <v>384</v>
      </c>
      <c r="C166" s="166">
        <f>+C92-C160</f>
        <v>60076119</v>
      </c>
      <c r="D166" s="166">
        <f>+D92-D160</f>
        <v>78029506</v>
      </c>
      <c r="E166" s="102">
        <f>+E92-E160</f>
        <v>78073086</v>
      </c>
    </row>
  </sheetData>
  <sheetProtection/>
  <mergeCells count="16">
    <mergeCell ref="B1:E1"/>
    <mergeCell ref="A2:E2"/>
    <mergeCell ref="A3:E3"/>
    <mergeCell ref="A4:E4"/>
    <mergeCell ref="A6:E6"/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</mergeCells>
  <printOptions horizontalCentered="1"/>
  <pageMargins left="0.6692913385826772" right="0.6692913385826772" top="0.8661417322834646" bottom="0.8661417322834646" header="0" footer="0"/>
  <pageSetup fitToHeight="2" orientation="portrait" paperSize="9" scale="72" r:id="rId1"/>
  <rowBreaks count="2" manualBreakCount="2">
    <brk id="68" max="4" man="1"/>
    <brk id="146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30" workbookViewId="0" topLeftCell="A1">
      <selection activeCell="P35" sqref="P35"/>
    </sheetView>
  </sheetViews>
  <sheetFormatPr defaultColWidth="9.00390625" defaultRowHeight="12.75"/>
  <cols>
    <col min="1" max="1" width="6.875" style="33" customWidth="1"/>
    <col min="2" max="2" width="48.00390625" style="71" customWidth="1"/>
    <col min="3" max="5" width="15.50390625" style="33" customWidth="1"/>
    <col min="6" max="6" width="55.125" style="33" customWidth="1"/>
    <col min="7" max="9" width="15.50390625" style="33" customWidth="1"/>
    <col min="10" max="10" width="4.875" style="33" customWidth="1"/>
    <col min="11" max="16384" width="9.375" style="33" customWidth="1"/>
  </cols>
  <sheetData>
    <row r="1" spans="1:10" ht="39.75" customHeight="1">
      <c r="A1" s="404"/>
      <c r="B1" s="410" t="s">
        <v>108</v>
      </c>
      <c r="C1" s="411"/>
      <c r="D1" s="411"/>
      <c r="E1" s="411"/>
      <c r="F1" s="411"/>
      <c r="G1" s="411"/>
      <c r="H1" s="411"/>
      <c r="I1" s="411"/>
      <c r="J1" s="817" t="str">
        <f>CONCATENATE("2.1. melléklet ",Z_ALAPADATOK!A7," ",Z_ALAPADATOK!B7," ",Z_ALAPADATOK!C7," ",Z_ALAPADATOK!D7," ",Z_ALAPADATOK!E7," ",Z_ALAPADATOK!F7," ",Z_ALAPADATOK!G7," ",Z_ALAPADATOK!H7)</f>
        <v>2.1. melléklet a 2 / 2019. ( IV.26. ) önkormányzati rendelethez</v>
      </c>
    </row>
    <row r="2" spans="1:10" ht="14.25" thickBot="1">
      <c r="A2" s="404"/>
      <c r="B2" s="403"/>
      <c r="C2" s="404"/>
      <c r="D2" s="404"/>
      <c r="E2" s="404"/>
      <c r="F2" s="404"/>
      <c r="G2" s="412"/>
      <c r="H2" s="412"/>
      <c r="I2" s="412" t="str">
        <f>CONCATENATE('Z_1.4.sz.mell.'!E7)</f>
        <v> Forintban!</v>
      </c>
      <c r="J2" s="817"/>
    </row>
    <row r="3" spans="1:10" ht="18" customHeight="1" thickBot="1">
      <c r="A3" s="814" t="s">
        <v>52</v>
      </c>
      <c r="B3" s="413" t="s">
        <v>40</v>
      </c>
      <c r="C3" s="414"/>
      <c r="D3" s="415"/>
      <c r="E3" s="415"/>
      <c r="F3" s="413" t="s">
        <v>41</v>
      </c>
      <c r="G3" s="416"/>
      <c r="H3" s="417"/>
      <c r="I3" s="418"/>
      <c r="J3" s="817"/>
    </row>
    <row r="4" spans="1:10" s="122" customFormat="1" ht="35.25" customHeight="1" thickBot="1">
      <c r="A4" s="815"/>
      <c r="B4" s="406" t="s">
        <v>45</v>
      </c>
      <c r="C4" s="372" t="str">
        <f>+CONCATENATE('Z_1.1.sz.mell.'!C8," eredeti előirányzat")</f>
        <v>2018. évi eredeti előirányzat</v>
      </c>
      <c r="D4" s="370" t="str">
        <f>+CONCATENATE('Z_1.1.sz.mell.'!C8," módosított előirányzat")</f>
        <v>2018. évi módosított előirányzat</v>
      </c>
      <c r="E4" s="370" t="str">
        <f>CONCATENATE('Z_1.4.sz.mell.'!E9)</f>
        <v>2018. XII. 31.
teljesítés</v>
      </c>
      <c r="F4" s="406" t="s">
        <v>45</v>
      </c>
      <c r="G4" s="372" t="str">
        <f>+C4</f>
        <v>2018. évi eredeti előirányzat</v>
      </c>
      <c r="H4" s="372" t="str">
        <f>+D4</f>
        <v>2018. évi módosított előirányzat</v>
      </c>
      <c r="I4" s="371" t="str">
        <f>+E4</f>
        <v>2018. XII. 31.
teljesítés</v>
      </c>
      <c r="J4" s="817"/>
    </row>
    <row r="5" spans="1:10" s="123" customFormat="1" ht="12" customHeight="1" thickBot="1">
      <c r="A5" s="419" t="s">
        <v>388</v>
      </c>
      <c r="B5" s="420" t="s">
        <v>389</v>
      </c>
      <c r="C5" s="421" t="s">
        <v>390</v>
      </c>
      <c r="D5" s="424" t="s">
        <v>392</v>
      </c>
      <c r="E5" s="424" t="s">
        <v>391</v>
      </c>
      <c r="F5" s="420" t="s">
        <v>425</v>
      </c>
      <c r="G5" s="421" t="s">
        <v>394</v>
      </c>
      <c r="H5" s="421" t="s">
        <v>395</v>
      </c>
      <c r="I5" s="425" t="s">
        <v>426</v>
      </c>
      <c r="J5" s="817"/>
    </row>
    <row r="6" spans="1:10" ht="12.75" customHeight="1">
      <c r="A6" s="124" t="s">
        <v>6</v>
      </c>
      <c r="B6" s="125" t="s">
        <v>283</v>
      </c>
      <c r="C6" s="115">
        <v>282510000</v>
      </c>
      <c r="D6" s="115">
        <v>293703971</v>
      </c>
      <c r="E6" s="115">
        <v>277335831</v>
      </c>
      <c r="F6" s="125" t="s">
        <v>46</v>
      </c>
      <c r="G6" s="115">
        <v>251197093</v>
      </c>
      <c r="H6" s="115">
        <v>279668543</v>
      </c>
      <c r="I6" s="266">
        <v>276268852</v>
      </c>
      <c r="J6" s="817"/>
    </row>
    <row r="7" spans="1:10" ht="12.75" customHeight="1">
      <c r="A7" s="126" t="s">
        <v>7</v>
      </c>
      <c r="B7" s="127" t="s">
        <v>284</v>
      </c>
      <c r="C7" s="116">
        <v>130598640</v>
      </c>
      <c r="D7" s="116">
        <v>138627724</v>
      </c>
      <c r="E7" s="116">
        <v>204001756</v>
      </c>
      <c r="F7" s="127" t="s">
        <v>124</v>
      </c>
      <c r="G7" s="116">
        <v>39563486</v>
      </c>
      <c r="H7" s="116">
        <v>53369340</v>
      </c>
      <c r="I7" s="267">
        <v>45547802</v>
      </c>
      <c r="J7" s="817"/>
    </row>
    <row r="8" spans="1:10" ht="12.75" customHeight="1">
      <c r="A8" s="126" t="s">
        <v>8</v>
      </c>
      <c r="B8" s="127" t="s">
        <v>302</v>
      </c>
      <c r="C8" s="116"/>
      <c r="D8" s="116"/>
      <c r="E8" s="116"/>
      <c r="F8" s="127" t="s">
        <v>148</v>
      </c>
      <c r="G8" s="116">
        <v>167393915</v>
      </c>
      <c r="H8" s="116">
        <v>255004533</v>
      </c>
      <c r="I8" s="267">
        <v>199906355</v>
      </c>
      <c r="J8" s="817"/>
    </row>
    <row r="9" spans="1:10" ht="12.75" customHeight="1">
      <c r="A9" s="126" t="s">
        <v>9</v>
      </c>
      <c r="B9" s="127" t="s">
        <v>115</v>
      </c>
      <c r="C9" s="116">
        <v>52320000</v>
      </c>
      <c r="D9" s="116">
        <v>53230155</v>
      </c>
      <c r="E9" s="116">
        <v>58430424</v>
      </c>
      <c r="F9" s="127" t="s">
        <v>125</v>
      </c>
      <c r="G9" s="116">
        <v>31641000</v>
      </c>
      <c r="H9" s="116">
        <v>45650312</v>
      </c>
      <c r="I9" s="267">
        <v>32220008</v>
      </c>
      <c r="J9" s="817"/>
    </row>
    <row r="10" spans="1:10" ht="12.75" customHeight="1">
      <c r="A10" s="126" t="s">
        <v>10</v>
      </c>
      <c r="B10" s="128" t="s">
        <v>327</v>
      </c>
      <c r="C10" s="116">
        <v>44771418</v>
      </c>
      <c r="D10" s="116">
        <v>63487592</v>
      </c>
      <c r="E10" s="116">
        <v>65058634</v>
      </c>
      <c r="F10" s="127" t="s">
        <v>126</v>
      </c>
      <c r="G10" s="116">
        <v>20404564</v>
      </c>
      <c r="H10" s="116">
        <v>21997645</v>
      </c>
      <c r="I10" s="267">
        <v>20625340</v>
      </c>
      <c r="J10" s="817"/>
    </row>
    <row r="11" spans="1:10" ht="12.75" customHeight="1">
      <c r="A11" s="126" t="s">
        <v>11</v>
      </c>
      <c r="B11" s="127" t="s">
        <v>285</v>
      </c>
      <c r="C11" s="117"/>
      <c r="D11" s="117">
        <v>2227930</v>
      </c>
      <c r="E11" s="117">
        <v>9926388</v>
      </c>
      <c r="F11" s="127" t="s">
        <v>36</v>
      </c>
      <c r="G11" s="116"/>
      <c r="H11" s="116"/>
      <c r="I11" s="267"/>
      <c r="J11" s="817"/>
    </row>
    <row r="12" spans="1:10" ht="12.75" customHeight="1">
      <c r="A12" s="126" t="s">
        <v>12</v>
      </c>
      <c r="B12" s="127" t="s">
        <v>385</v>
      </c>
      <c r="C12" s="116"/>
      <c r="D12" s="116"/>
      <c r="E12" s="116"/>
      <c r="F12" s="30"/>
      <c r="G12" s="116"/>
      <c r="H12" s="116"/>
      <c r="I12" s="267"/>
      <c r="J12" s="817"/>
    </row>
    <row r="13" spans="1:10" ht="12.75" customHeight="1">
      <c r="A13" s="126" t="s">
        <v>13</v>
      </c>
      <c r="B13" s="30"/>
      <c r="C13" s="116"/>
      <c r="D13" s="116"/>
      <c r="E13" s="116"/>
      <c r="F13" s="30"/>
      <c r="G13" s="116"/>
      <c r="H13" s="116"/>
      <c r="I13" s="267"/>
      <c r="J13" s="817"/>
    </row>
    <row r="14" spans="1:10" ht="12.75" customHeight="1">
      <c r="A14" s="126" t="s">
        <v>14</v>
      </c>
      <c r="B14" s="191"/>
      <c r="C14" s="117"/>
      <c r="D14" s="117"/>
      <c r="E14" s="117"/>
      <c r="F14" s="30"/>
      <c r="G14" s="116"/>
      <c r="H14" s="116"/>
      <c r="I14" s="267"/>
      <c r="J14" s="817"/>
    </row>
    <row r="15" spans="1:10" ht="12.75" customHeight="1">
      <c r="A15" s="126" t="s">
        <v>15</v>
      </c>
      <c r="B15" s="30"/>
      <c r="C15" s="116"/>
      <c r="D15" s="116"/>
      <c r="E15" s="116"/>
      <c r="F15" s="30"/>
      <c r="G15" s="116"/>
      <c r="H15" s="116"/>
      <c r="I15" s="267"/>
      <c r="J15" s="817"/>
    </row>
    <row r="16" spans="1:10" ht="12.75" customHeight="1">
      <c r="A16" s="126" t="s">
        <v>16</v>
      </c>
      <c r="B16" s="30"/>
      <c r="C16" s="116"/>
      <c r="D16" s="116"/>
      <c r="E16" s="116"/>
      <c r="F16" s="30"/>
      <c r="G16" s="116"/>
      <c r="H16" s="116"/>
      <c r="I16" s="267"/>
      <c r="J16" s="817"/>
    </row>
    <row r="17" spans="1:10" ht="12.75" customHeight="1" thickBot="1">
      <c r="A17" s="126" t="s">
        <v>17</v>
      </c>
      <c r="B17" s="35"/>
      <c r="C17" s="118"/>
      <c r="D17" s="118"/>
      <c r="E17" s="118"/>
      <c r="F17" s="30"/>
      <c r="G17" s="118"/>
      <c r="H17" s="118"/>
      <c r="I17" s="268"/>
      <c r="J17" s="817"/>
    </row>
    <row r="18" spans="1:10" ht="21.75" thickBot="1">
      <c r="A18" s="129" t="s">
        <v>18</v>
      </c>
      <c r="B18" s="57" t="s">
        <v>386</v>
      </c>
      <c r="C18" s="119">
        <f>C6+C7+C9+C10+C11+C13+C14+C15+C16+C17</f>
        <v>510200058</v>
      </c>
      <c r="D18" s="119">
        <f>D6+D7+D9+D10+D11+D13+D14+D15+D16+D17</f>
        <v>551277372</v>
      </c>
      <c r="E18" s="119">
        <f>E6+E7+E9+E10+E11+E13+E14+E15+E16+E17</f>
        <v>614753033</v>
      </c>
      <c r="F18" s="57" t="s">
        <v>288</v>
      </c>
      <c r="G18" s="119">
        <f>SUM(G6:G17)</f>
        <v>510200058</v>
      </c>
      <c r="H18" s="119">
        <f>SUM(H6:H17)</f>
        <v>655690373</v>
      </c>
      <c r="I18" s="147">
        <f>SUM(I6:I17)</f>
        <v>574568357</v>
      </c>
      <c r="J18" s="817"/>
    </row>
    <row r="19" spans="1:10" ht="12.75" customHeight="1">
      <c r="A19" s="130" t="s">
        <v>19</v>
      </c>
      <c r="B19" s="131" t="s">
        <v>894</v>
      </c>
      <c r="C19" s="234">
        <f>+C20+C21+C22+C23</f>
        <v>157271416</v>
      </c>
      <c r="D19" s="234">
        <f>+D20+D21+D22+D23</f>
        <v>427862080</v>
      </c>
      <c r="E19" s="234">
        <f>+E20+E21+E22+E23</f>
        <v>968084103</v>
      </c>
      <c r="F19" s="132" t="s">
        <v>132</v>
      </c>
      <c r="G19" s="120"/>
      <c r="H19" s="120"/>
      <c r="I19" s="269"/>
      <c r="J19" s="817"/>
    </row>
    <row r="20" spans="1:10" ht="12.75" customHeight="1">
      <c r="A20" s="133" t="s">
        <v>20</v>
      </c>
      <c r="B20" s="132" t="s">
        <v>143</v>
      </c>
      <c r="C20" s="46"/>
      <c r="D20" s="170">
        <v>261853286</v>
      </c>
      <c r="E20" s="106">
        <v>494759738</v>
      </c>
      <c r="F20" s="132" t="s">
        <v>287</v>
      </c>
      <c r="G20" s="46"/>
      <c r="H20" s="46"/>
      <c r="I20" s="270"/>
      <c r="J20" s="817"/>
    </row>
    <row r="21" spans="1:10" ht="12.75" customHeight="1">
      <c r="A21" s="133" t="s">
        <v>21</v>
      </c>
      <c r="B21" s="132" t="s">
        <v>144</v>
      </c>
      <c r="C21" s="46"/>
      <c r="D21" s="46"/>
      <c r="E21" s="46"/>
      <c r="F21" s="132" t="s">
        <v>106</v>
      </c>
      <c r="G21" s="46"/>
      <c r="H21" s="46"/>
      <c r="I21" s="270"/>
      <c r="J21" s="817"/>
    </row>
    <row r="22" spans="1:10" ht="28.5" customHeight="1">
      <c r="A22" s="133" t="s">
        <v>22</v>
      </c>
      <c r="B22" s="132" t="s">
        <v>904</v>
      </c>
      <c r="C22" s="46"/>
      <c r="D22" s="46"/>
      <c r="E22" s="46">
        <v>300000000</v>
      </c>
      <c r="F22" s="132" t="s">
        <v>107</v>
      </c>
      <c r="G22" s="46"/>
      <c r="H22" s="46"/>
      <c r="I22" s="270"/>
      <c r="J22" s="817"/>
    </row>
    <row r="23" spans="1:10" ht="26.25" customHeight="1">
      <c r="A23" s="133" t="s">
        <v>23</v>
      </c>
      <c r="B23" s="132" t="s">
        <v>903</v>
      </c>
      <c r="C23" s="170">
        <v>157271416</v>
      </c>
      <c r="D23" s="170">
        <v>166008794</v>
      </c>
      <c r="E23" s="106">
        <v>173324365</v>
      </c>
      <c r="F23" s="131" t="s">
        <v>901</v>
      </c>
      <c r="G23" s="46">
        <v>157271416</v>
      </c>
      <c r="H23" s="46">
        <v>166008794</v>
      </c>
      <c r="I23" s="270">
        <v>163421540</v>
      </c>
      <c r="J23" s="817"/>
    </row>
    <row r="24" spans="1:10" ht="12.75" customHeight="1">
      <c r="A24" s="126" t="s">
        <v>24</v>
      </c>
      <c r="B24" s="132" t="s">
        <v>286</v>
      </c>
      <c r="C24" s="46"/>
      <c r="D24" s="46"/>
      <c r="E24" s="46"/>
      <c r="F24" s="132" t="s">
        <v>133</v>
      </c>
      <c r="G24" s="46"/>
      <c r="H24" s="46"/>
      <c r="I24" s="270"/>
      <c r="J24" s="817"/>
    </row>
    <row r="25" spans="1:10" ht="12.75" customHeight="1">
      <c r="A25" s="126" t="s">
        <v>25</v>
      </c>
      <c r="B25" s="132" t="s">
        <v>893</v>
      </c>
      <c r="C25" s="134">
        <f>C26+C27+C28</f>
        <v>0</v>
      </c>
      <c r="D25" s="134">
        <f>D26+D27+D28</f>
        <v>0</v>
      </c>
      <c r="E25" s="134">
        <f>E26+E27+E28</f>
        <v>0</v>
      </c>
      <c r="F25" s="125" t="s">
        <v>368</v>
      </c>
      <c r="G25" s="46"/>
      <c r="H25" s="46"/>
      <c r="I25" s="270">
        <v>300000000</v>
      </c>
      <c r="J25" s="817"/>
    </row>
    <row r="26" spans="1:10" ht="12.75" customHeight="1">
      <c r="A26" s="162" t="s">
        <v>26</v>
      </c>
      <c r="B26" s="131" t="s">
        <v>157</v>
      </c>
      <c r="C26" s="120"/>
      <c r="D26" s="120"/>
      <c r="E26" s="120"/>
      <c r="F26" s="127" t="s">
        <v>374</v>
      </c>
      <c r="G26" s="120"/>
      <c r="H26" s="120"/>
      <c r="I26" s="269"/>
      <c r="J26" s="817"/>
    </row>
    <row r="27" spans="1:10" ht="12.75" customHeight="1">
      <c r="A27" s="126" t="s">
        <v>27</v>
      </c>
      <c r="B27" s="132" t="s">
        <v>379</v>
      </c>
      <c r="C27" s="46"/>
      <c r="D27" s="46"/>
      <c r="E27" s="46"/>
      <c r="F27" s="127" t="s">
        <v>375</v>
      </c>
      <c r="G27" s="46"/>
      <c r="H27" s="46"/>
      <c r="I27" s="270"/>
      <c r="J27" s="817"/>
    </row>
    <row r="28" spans="1:10" ht="32.25" customHeight="1" thickBot="1">
      <c r="A28" s="162" t="s">
        <v>28</v>
      </c>
      <c r="B28" s="131" t="s">
        <v>244</v>
      </c>
      <c r="C28" s="120"/>
      <c r="D28" s="120"/>
      <c r="E28" s="120"/>
      <c r="F28" s="193" t="s">
        <v>905</v>
      </c>
      <c r="G28" s="120"/>
      <c r="H28" s="120">
        <v>37606457</v>
      </c>
      <c r="I28" s="269">
        <v>37606457</v>
      </c>
      <c r="J28" s="817"/>
    </row>
    <row r="29" spans="1:10" ht="24" customHeight="1" thickBot="1">
      <c r="A29" s="129" t="s">
        <v>29</v>
      </c>
      <c r="B29" s="57" t="s">
        <v>896</v>
      </c>
      <c r="C29" s="119">
        <f>+C19+C25</f>
        <v>157271416</v>
      </c>
      <c r="D29" s="119">
        <f>+D19+D25</f>
        <v>427862080</v>
      </c>
      <c r="E29" s="264">
        <f>+E19+E25</f>
        <v>968084103</v>
      </c>
      <c r="F29" s="57" t="s">
        <v>895</v>
      </c>
      <c r="G29" s="119">
        <f>SUM(G19:G28)</f>
        <v>157271416</v>
      </c>
      <c r="H29" s="119">
        <f>SUM(H19:H28)</f>
        <v>203615251</v>
      </c>
      <c r="I29" s="147">
        <f>SUM(I19:I28)</f>
        <v>501027997</v>
      </c>
      <c r="J29" s="817"/>
    </row>
    <row r="30" spans="1:10" ht="13.5" thickBot="1">
      <c r="A30" s="129" t="s">
        <v>30</v>
      </c>
      <c r="B30" s="135" t="s">
        <v>387</v>
      </c>
      <c r="C30" s="334">
        <f>+C18+C29</f>
        <v>667471474</v>
      </c>
      <c r="D30" s="334">
        <f>+D18+D29</f>
        <v>979139452</v>
      </c>
      <c r="E30" s="335">
        <f>+E18+E29</f>
        <v>1582837136</v>
      </c>
      <c r="F30" s="135" t="s">
        <v>906</v>
      </c>
      <c r="G30" s="334">
        <f>+G18+G29</f>
        <v>667471474</v>
      </c>
      <c r="H30" s="334">
        <f>+H18+H29</f>
        <v>859305624</v>
      </c>
      <c r="I30" s="335">
        <f>+I18+I29</f>
        <v>1075596354</v>
      </c>
      <c r="J30" s="817"/>
    </row>
    <row r="31" spans="1:10" ht="13.5" thickBot="1">
      <c r="A31" s="129" t="s">
        <v>31</v>
      </c>
      <c r="B31" s="135" t="s">
        <v>110</v>
      </c>
      <c r="C31" s="334" t="str">
        <f>IF(C18-G18&lt;0,G18-C18,"-")</f>
        <v>-</v>
      </c>
      <c r="D31" s="334">
        <f>IF(D18-H18&lt;0,H18-D18,"-")</f>
        <v>104413001</v>
      </c>
      <c r="E31" s="335" t="str">
        <f>IF(E18-I18&lt;0,I18-E18,"-")</f>
        <v>-</v>
      </c>
      <c r="F31" s="135" t="s">
        <v>111</v>
      </c>
      <c r="G31" s="334" t="str">
        <f>IF(C18-G18&gt;0,C18-G18,"-")</f>
        <v>-</v>
      </c>
      <c r="H31" s="334" t="str">
        <f>IF(D18-H18&gt;0,D18-H18,"-")</f>
        <v>-</v>
      </c>
      <c r="I31" s="335">
        <f>IF(E18-I18&gt;0,E18-I18,"-")</f>
        <v>40184676</v>
      </c>
      <c r="J31" s="817"/>
    </row>
    <row r="32" spans="1:10" ht="13.5" thickBot="1">
      <c r="A32" s="129" t="s">
        <v>32</v>
      </c>
      <c r="B32" s="135" t="s">
        <v>500</v>
      </c>
      <c r="C32" s="334" t="str">
        <f>IF(C30-G30&lt;0,G30-C30,"-")</f>
        <v>-</v>
      </c>
      <c r="D32" s="334" t="str">
        <f>IF(D30-H30&lt;0,H30-D30,"-")</f>
        <v>-</v>
      </c>
      <c r="E32" s="334" t="str">
        <f>IF(E30-I30&lt;0,I30-E30,"-")</f>
        <v>-</v>
      </c>
      <c r="F32" s="135" t="s">
        <v>501</v>
      </c>
      <c r="G32" s="334" t="str">
        <f>IF(C30-G30&gt;0,C30-G30,"-")</f>
        <v>-</v>
      </c>
      <c r="H32" s="334">
        <f>IF(D30-H30&gt;0,D30-H30,"-")</f>
        <v>119833828</v>
      </c>
      <c r="I32" s="334">
        <f>IF(E30-I30&gt;0,E30-I30,"-")</f>
        <v>507240782</v>
      </c>
      <c r="J32" s="817"/>
    </row>
    <row r="33" spans="2:10" ht="18.75">
      <c r="B33" s="816"/>
      <c r="C33" s="816"/>
      <c r="D33" s="816"/>
      <c r="E33" s="816"/>
      <c r="F33" s="816"/>
      <c r="J33" s="817"/>
    </row>
  </sheetData>
  <sheetProtection/>
  <mergeCells count="3">
    <mergeCell ref="A3:A4"/>
    <mergeCell ref="B33:F33"/>
    <mergeCell ref="J1:J33"/>
  </mergeCells>
  <printOptions horizontalCentered="1"/>
  <pageMargins left="0.33" right="0.48" top="0.9055118110236221" bottom="0.5" header="0.6692913385826772" footer="0.28"/>
  <pageSetup orientation="landscape" paperSize="9" scale="72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20" zoomScaleNormal="120" zoomScaleSheetLayoutView="115" workbookViewId="0" topLeftCell="A1">
      <selection activeCell="I10" sqref="I10"/>
    </sheetView>
  </sheetViews>
  <sheetFormatPr defaultColWidth="9.00390625" defaultRowHeight="12.75"/>
  <cols>
    <col min="1" max="1" width="6.875" style="33" customWidth="1"/>
    <col min="2" max="2" width="49.875" style="71" customWidth="1"/>
    <col min="3" max="5" width="15.50390625" style="33" customWidth="1"/>
    <col min="6" max="6" width="49.875" style="33" customWidth="1"/>
    <col min="7" max="9" width="15.50390625" style="33" customWidth="1"/>
    <col min="10" max="10" width="4.875" style="33" customWidth="1"/>
    <col min="11" max="16384" width="9.375" style="33" customWidth="1"/>
  </cols>
  <sheetData>
    <row r="1" spans="1:10" ht="31.5">
      <c r="A1" s="404"/>
      <c r="B1" s="410" t="s">
        <v>109</v>
      </c>
      <c r="C1" s="411"/>
      <c r="D1" s="411"/>
      <c r="E1" s="411"/>
      <c r="F1" s="411"/>
      <c r="G1" s="411"/>
      <c r="H1" s="411"/>
      <c r="I1" s="411"/>
      <c r="J1" s="817" t="str">
        <f>CONCATENATE("2.2. melléklet ",Z_ALAPADATOK!A7," ",Z_ALAPADATOK!B7," ",Z_ALAPADATOK!C7," ",Z_ALAPADATOK!D7," ",Z_ALAPADATOK!E7," ",Z_ALAPADATOK!F7," ",Z_ALAPADATOK!G7," ",Z_ALAPADATOK!H7)</f>
        <v>2.2. melléklet a 2 / 2019. ( IV.26. ) önkormányzati rendelethez</v>
      </c>
    </row>
    <row r="2" spans="1:10" ht="14.25" thickBot="1">
      <c r="A2" s="404"/>
      <c r="B2" s="403"/>
      <c r="C2" s="404"/>
      <c r="D2" s="404"/>
      <c r="E2" s="404"/>
      <c r="F2" s="404"/>
      <c r="G2" s="412"/>
      <c r="H2" s="412"/>
      <c r="I2" s="412" t="str">
        <f>'Z_2.1.sz.mell'!I2</f>
        <v> Forintban!</v>
      </c>
      <c r="J2" s="817"/>
    </row>
    <row r="3" spans="1:10" ht="13.5" customHeight="1" thickBot="1">
      <c r="A3" s="814" t="s">
        <v>52</v>
      </c>
      <c r="B3" s="413" t="s">
        <v>40</v>
      </c>
      <c r="C3" s="414"/>
      <c r="D3" s="415"/>
      <c r="E3" s="415"/>
      <c r="F3" s="413" t="s">
        <v>41</v>
      </c>
      <c r="G3" s="416"/>
      <c r="H3" s="417"/>
      <c r="I3" s="418"/>
      <c r="J3" s="817"/>
    </row>
    <row r="4" spans="1:10" s="122" customFormat="1" ht="36.75" thickBot="1">
      <c r="A4" s="815"/>
      <c r="B4" s="406" t="s">
        <v>45</v>
      </c>
      <c r="C4" s="372" t="str">
        <f>+CONCATENATE('Z_1.1.sz.mell.'!C8," eredeti előirányzat")</f>
        <v>2018. évi eredeti előirányzat</v>
      </c>
      <c r="D4" s="370" t="str">
        <f>+CONCATENATE('Z_1.1.sz.mell.'!C8," módosított előirányzat")</f>
        <v>2018. évi módosított előirányzat</v>
      </c>
      <c r="E4" s="370" t="str">
        <f>CONCATENATE('Z_2.1.sz.mell'!E4)</f>
        <v>2018. XII. 31.
teljesítés</v>
      </c>
      <c r="F4" s="406" t="s">
        <v>45</v>
      </c>
      <c r="G4" s="372" t="str">
        <f>+C4</f>
        <v>2018. évi eredeti előirányzat</v>
      </c>
      <c r="H4" s="372" t="str">
        <f>+D4</f>
        <v>2018. évi módosított előirányzat</v>
      </c>
      <c r="I4" s="371" t="str">
        <f>+E4</f>
        <v>2018. XII. 31.
teljesítés</v>
      </c>
      <c r="J4" s="817"/>
    </row>
    <row r="5" spans="1:10" s="122" customFormat="1" ht="13.5" thickBot="1">
      <c r="A5" s="419" t="s">
        <v>388</v>
      </c>
      <c r="B5" s="420" t="s">
        <v>389</v>
      </c>
      <c r="C5" s="421" t="s">
        <v>390</v>
      </c>
      <c r="D5" s="421" t="s">
        <v>392</v>
      </c>
      <c r="E5" s="421" t="s">
        <v>391</v>
      </c>
      <c r="F5" s="420" t="s">
        <v>393</v>
      </c>
      <c r="G5" s="421" t="s">
        <v>394</v>
      </c>
      <c r="H5" s="422" t="s">
        <v>395</v>
      </c>
      <c r="I5" s="423" t="s">
        <v>426</v>
      </c>
      <c r="J5" s="817"/>
    </row>
    <row r="6" spans="1:10" ht="12.75" customHeight="1">
      <c r="A6" s="124" t="s">
        <v>6</v>
      </c>
      <c r="B6" s="125" t="s">
        <v>289</v>
      </c>
      <c r="C6" s="115">
        <v>2840403</v>
      </c>
      <c r="D6" s="115">
        <v>43339733</v>
      </c>
      <c r="E6" s="115">
        <v>51577821</v>
      </c>
      <c r="F6" s="125" t="s">
        <v>145</v>
      </c>
      <c r="G6" s="115">
        <v>21819354</v>
      </c>
      <c r="H6" s="275">
        <v>57892988</v>
      </c>
      <c r="I6" s="145">
        <v>54091064</v>
      </c>
      <c r="J6" s="817"/>
    </row>
    <row r="7" spans="1:10" ht="12.75">
      <c r="A7" s="126" t="s">
        <v>7</v>
      </c>
      <c r="B7" s="127" t="s">
        <v>290</v>
      </c>
      <c r="C7" s="116"/>
      <c r="D7" s="116"/>
      <c r="E7" s="116"/>
      <c r="F7" s="127" t="s">
        <v>295</v>
      </c>
      <c r="G7" s="116"/>
      <c r="H7" s="116"/>
      <c r="I7" s="267">
        <v>32745947</v>
      </c>
      <c r="J7" s="817"/>
    </row>
    <row r="8" spans="1:10" ht="12.75" customHeight="1">
      <c r="A8" s="126" t="s">
        <v>8</v>
      </c>
      <c r="B8" s="127" t="s">
        <v>1</v>
      </c>
      <c r="C8" s="116">
        <v>23494885</v>
      </c>
      <c r="D8" s="116">
        <v>23494885</v>
      </c>
      <c r="E8" s="116"/>
      <c r="F8" s="127" t="s">
        <v>128</v>
      </c>
      <c r="G8" s="116">
        <v>1681000</v>
      </c>
      <c r="H8" s="116">
        <v>125940524</v>
      </c>
      <c r="I8" s="267">
        <v>122209624</v>
      </c>
      <c r="J8" s="817"/>
    </row>
    <row r="9" spans="1:10" ht="12.75" customHeight="1">
      <c r="A9" s="126" t="s">
        <v>9</v>
      </c>
      <c r="B9" s="127" t="s">
        <v>291</v>
      </c>
      <c r="C9" s="116"/>
      <c r="D9" s="116"/>
      <c r="E9" s="116">
        <v>3752010</v>
      </c>
      <c r="F9" s="127" t="s">
        <v>296</v>
      </c>
      <c r="G9" s="116"/>
      <c r="H9" s="116"/>
      <c r="I9" s="267">
        <v>109270800</v>
      </c>
      <c r="J9" s="817"/>
    </row>
    <row r="10" spans="1:10" ht="12.75" customHeight="1">
      <c r="A10" s="126" t="s">
        <v>10</v>
      </c>
      <c r="B10" s="127" t="s">
        <v>292</v>
      </c>
      <c r="C10" s="116"/>
      <c r="D10" s="116"/>
      <c r="E10" s="116"/>
      <c r="F10" s="127" t="s">
        <v>147</v>
      </c>
      <c r="G10" s="116">
        <v>2834934</v>
      </c>
      <c r="H10" s="116">
        <v>2834934</v>
      </c>
      <c r="I10" s="267"/>
      <c r="J10" s="817"/>
    </row>
    <row r="11" spans="1:10" ht="12.75" customHeight="1">
      <c r="A11" s="126" t="s">
        <v>11</v>
      </c>
      <c r="B11" s="127" t="s">
        <v>293</v>
      </c>
      <c r="C11" s="117"/>
      <c r="D11" s="117"/>
      <c r="E11" s="117"/>
      <c r="F11" s="194"/>
      <c r="G11" s="116"/>
      <c r="H11" s="116"/>
      <c r="I11" s="267"/>
      <c r="J11" s="817"/>
    </row>
    <row r="12" spans="1:10" ht="12.75" customHeight="1">
      <c r="A12" s="126" t="s">
        <v>12</v>
      </c>
      <c r="B12" s="30"/>
      <c r="C12" s="116"/>
      <c r="D12" s="116"/>
      <c r="E12" s="116"/>
      <c r="F12" s="194"/>
      <c r="G12" s="116"/>
      <c r="H12" s="116"/>
      <c r="I12" s="267"/>
      <c r="J12" s="817"/>
    </row>
    <row r="13" spans="1:10" ht="12.75" customHeight="1">
      <c r="A13" s="126" t="s">
        <v>13</v>
      </c>
      <c r="B13" s="30"/>
      <c r="C13" s="116"/>
      <c r="D13" s="116"/>
      <c r="E13" s="116"/>
      <c r="F13" s="195"/>
      <c r="G13" s="116"/>
      <c r="H13" s="116"/>
      <c r="I13" s="267"/>
      <c r="J13" s="817"/>
    </row>
    <row r="14" spans="1:10" ht="12.75" customHeight="1">
      <c r="A14" s="126" t="s">
        <v>14</v>
      </c>
      <c r="B14" s="192"/>
      <c r="C14" s="117"/>
      <c r="D14" s="117"/>
      <c r="E14" s="117"/>
      <c r="F14" s="194"/>
      <c r="G14" s="116"/>
      <c r="H14" s="116"/>
      <c r="I14" s="267"/>
      <c r="J14" s="817"/>
    </row>
    <row r="15" spans="1:10" ht="12.75">
      <c r="A15" s="126" t="s">
        <v>15</v>
      </c>
      <c r="B15" s="30"/>
      <c r="C15" s="117"/>
      <c r="D15" s="117"/>
      <c r="E15" s="117"/>
      <c r="F15" s="194"/>
      <c r="G15" s="116"/>
      <c r="H15" s="116"/>
      <c r="I15" s="267"/>
      <c r="J15" s="817"/>
    </row>
    <row r="16" spans="1:10" ht="12.75" customHeight="1" thickBot="1">
      <c r="A16" s="162" t="s">
        <v>16</v>
      </c>
      <c r="B16" s="193"/>
      <c r="C16" s="164"/>
      <c r="D16" s="164"/>
      <c r="E16" s="164"/>
      <c r="F16" s="163" t="s">
        <v>36</v>
      </c>
      <c r="G16" s="273"/>
      <c r="H16" s="273"/>
      <c r="I16" s="271"/>
      <c r="J16" s="817"/>
    </row>
    <row r="17" spans="1:10" ht="15.75" customHeight="1" thickBot="1">
      <c r="A17" s="129" t="s">
        <v>17</v>
      </c>
      <c r="B17" s="57" t="s">
        <v>303</v>
      </c>
      <c r="C17" s="119">
        <f>+C6+C8+C9+C11+C12+C13+C14+C15+C16</f>
        <v>26335288</v>
      </c>
      <c r="D17" s="119">
        <f>+D6+D8+D9+D11+D12+D13+D14+D15+D16</f>
        <v>66834618</v>
      </c>
      <c r="E17" s="119">
        <f>+E6+E8+E9+E11+E12+E13+E14+E15+E16</f>
        <v>55329831</v>
      </c>
      <c r="F17" s="57" t="s">
        <v>304</v>
      </c>
      <c r="G17" s="119">
        <f>+G6+G8+G10+G11+G12+G13+G14+G15+G16</f>
        <v>26335288</v>
      </c>
      <c r="H17" s="119">
        <f>+H6+H8+H10+H11+H12+H13+H14+H15+H16</f>
        <v>186668446</v>
      </c>
      <c r="I17" s="147">
        <f>+I6+I8+I10+I11+I12+I13+I14+I15+I16</f>
        <v>176300688</v>
      </c>
      <c r="J17" s="817"/>
    </row>
    <row r="18" spans="1:10" ht="12.75" customHeight="1">
      <c r="A18" s="124" t="s">
        <v>18</v>
      </c>
      <c r="B18" s="137" t="s">
        <v>161</v>
      </c>
      <c r="C18" s="144">
        <f>+C19+C20+C21+C22+C23</f>
        <v>0</v>
      </c>
      <c r="D18" s="144">
        <f>+D19+D20+D21+D22+D23</f>
        <v>0</v>
      </c>
      <c r="E18" s="144">
        <f>+E19+E20+E21+E22+E23</f>
        <v>0</v>
      </c>
      <c r="F18" s="132" t="s">
        <v>132</v>
      </c>
      <c r="G18" s="274"/>
      <c r="H18" s="274"/>
      <c r="I18" s="272"/>
      <c r="J18" s="817"/>
    </row>
    <row r="19" spans="1:10" ht="12.75" customHeight="1">
      <c r="A19" s="126" t="s">
        <v>19</v>
      </c>
      <c r="B19" s="138" t="s">
        <v>150</v>
      </c>
      <c r="C19" s="46"/>
      <c r="D19" s="46"/>
      <c r="E19" s="46"/>
      <c r="F19" s="132" t="s">
        <v>135</v>
      </c>
      <c r="G19" s="46"/>
      <c r="H19" s="46"/>
      <c r="I19" s="270"/>
      <c r="J19" s="817"/>
    </row>
    <row r="20" spans="1:10" ht="12.75" customHeight="1">
      <c r="A20" s="124" t="s">
        <v>20</v>
      </c>
      <c r="B20" s="138" t="s">
        <v>151</v>
      </c>
      <c r="C20" s="46"/>
      <c r="D20" s="46"/>
      <c r="E20" s="46"/>
      <c r="F20" s="132" t="s">
        <v>106</v>
      </c>
      <c r="G20" s="46"/>
      <c r="H20" s="46"/>
      <c r="I20" s="270"/>
      <c r="J20" s="817"/>
    </row>
    <row r="21" spans="1:10" ht="12.75" customHeight="1">
      <c r="A21" s="126" t="s">
        <v>21</v>
      </c>
      <c r="B21" s="138" t="s">
        <v>152</v>
      </c>
      <c r="C21" s="46"/>
      <c r="D21" s="46"/>
      <c r="E21" s="46"/>
      <c r="F21" s="132" t="s">
        <v>107</v>
      </c>
      <c r="G21" s="46"/>
      <c r="H21" s="46"/>
      <c r="I21" s="270"/>
      <c r="J21" s="817"/>
    </row>
    <row r="22" spans="1:10" ht="12.75" customHeight="1">
      <c r="A22" s="124" t="s">
        <v>22</v>
      </c>
      <c r="B22" s="138" t="s">
        <v>153</v>
      </c>
      <c r="C22" s="46"/>
      <c r="D22" s="46"/>
      <c r="E22" s="46"/>
      <c r="F22" s="131" t="s">
        <v>149</v>
      </c>
      <c r="G22" s="46"/>
      <c r="H22" s="46"/>
      <c r="I22" s="270"/>
      <c r="J22" s="817"/>
    </row>
    <row r="23" spans="1:10" ht="12.75" customHeight="1">
      <c r="A23" s="126" t="s">
        <v>23</v>
      </c>
      <c r="B23" s="139" t="s">
        <v>154</v>
      </c>
      <c r="C23" s="46"/>
      <c r="D23" s="46"/>
      <c r="E23" s="46"/>
      <c r="F23" s="132" t="s">
        <v>136</v>
      </c>
      <c r="G23" s="46"/>
      <c r="H23" s="46"/>
      <c r="I23" s="270"/>
      <c r="J23" s="817"/>
    </row>
    <row r="24" spans="1:10" ht="12.75" customHeight="1">
      <c r="A24" s="124" t="s">
        <v>24</v>
      </c>
      <c r="B24" s="140" t="s">
        <v>155</v>
      </c>
      <c r="C24" s="134">
        <f>+C25+C26+C27+C28+C29</f>
        <v>0</v>
      </c>
      <c r="D24" s="134">
        <f>+D25+D26+D27+D28+D29</f>
        <v>0</v>
      </c>
      <c r="E24" s="134">
        <f>+E25+E26+E27+E28+E29</f>
        <v>0</v>
      </c>
      <c r="F24" s="141" t="s">
        <v>134</v>
      </c>
      <c r="G24" s="46"/>
      <c r="H24" s="46"/>
      <c r="I24" s="270"/>
      <c r="J24" s="817"/>
    </row>
    <row r="25" spans="1:10" ht="12.75" customHeight="1">
      <c r="A25" s="126" t="s">
        <v>25</v>
      </c>
      <c r="B25" s="139" t="s">
        <v>156</v>
      </c>
      <c r="C25" s="46"/>
      <c r="D25" s="46"/>
      <c r="E25" s="46"/>
      <c r="F25" s="141" t="s">
        <v>297</v>
      </c>
      <c r="G25" s="46"/>
      <c r="H25" s="46"/>
      <c r="I25" s="270"/>
      <c r="J25" s="817"/>
    </row>
    <row r="26" spans="1:10" ht="12.75" customHeight="1">
      <c r="A26" s="124" t="s">
        <v>26</v>
      </c>
      <c r="B26" s="139" t="s">
        <v>157</v>
      </c>
      <c r="C26" s="46"/>
      <c r="D26" s="46"/>
      <c r="E26" s="46"/>
      <c r="F26" s="136"/>
      <c r="G26" s="46"/>
      <c r="H26" s="46"/>
      <c r="I26" s="270"/>
      <c r="J26" s="817"/>
    </row>
    <row r="27" spans="1:10" ht="12.75" customHeight="1">
      <c r="A27" s="126" t="s">
        <v>27</v>
      </c>
      <c r="B27" s="138" t="s">
        <v>158</v>
      </c>
      <c r="C27" s="46"/>
      <c r="D27" s="46"/>
      <c r="E27" s="46"/>
      <c r="F27" s="55"/>
      <c r="G27" s="46"/>
      <c r="H27" s="46"/>
      <c r="I27" s="270"/>
      <c r="J27" s="817"/>
    </row>
    <row r="28" spans="1:10" ht="12.75" customHeight="1">
      <c r="A28" s="124" t="s">
        <v>28</v>
      </c>
      <c r="B28" s="142" t="s">
        <v>159</v>
      </c>
      <c r="C28" s="46"/>
      <c r="D28" s="46"/>
      <c r="E28" s="46"/>
      <c r="F28" s="30"/>
      <c r="G28" s="46"/>
      <c r="H28" s="46"/>
      <c r="I28" s="270"/>
      <c r="J28" s="817"/>
    </row>
    <row r="29" spans="1:10" ht="12.75" customHeight="1" thickBot="1">
      <c r="A29" s="126" t="s">
        <v>29</v>
      </c>
      <c r="B29" s="143" t="s">
        <v>160</v>
      </c>
      <c r="C29" s="46"/>
      <c r="D29" s="46"/>
      <c r="E29" s="46"/>
      <c r="F29" s="55"/>
      <c r="G29" s="46"/>
      <c r="H29" s="46"/>
      <c r="I29" s="270"/>
      <c r="J29" s="817"/>
    </row>
    <row r="30" spans="1:10" ht="21.75" customHeight="1" thickBot="1">
      <c r="A30" s="129" t="s">
        <v>30</v>
      </c>
      <c r="B30" s="57" t="s">
        <v>294</v>
      </c>
      <c r="C30" s="119">
        <f>+C18+C24</f>
        <v>0</v>
      </c>
      <c r="D30" s="119">
        <f>+D18+D24</f>
        <v>0</v>
      </c>
      <c r="E30" s="119">
        <f>+E18+E24</f>
        <v>0</v>
      </c>
      <c r="F30" s="57" t="s">
        <v>298</v>
      </c>
      <c r="G30" s="119">
        <f>SUM(G18:G29)</f>
        <v>0</v>
      </c>
      <c r="H30" s="119">
        <f>SUM(H18:H29)</f>
        <v>0</v>
      </c>
      <c r="I30" s="147">
        <f>SUM(I18:I29)</f>
        <v>0</v>
      </c>
      <c r="J30" s="817"/>
    </row>
    <row r="31" spans="1:10" ht="13.5" thickBot="1">
      <c r="A31" s="129" t="s">
        <v>31</v>
      </c>
      <c r="B31" s="135" t="s">
        <v>299</v>
      </c>
      <c r="C31" s="334">
        <f>+C17+C30</f>
        <v>26335288</v>
      </c>
      <c r="D31" s="334">
        <f>+D17+D30</f>
        <v>66834618</v>
      </c>
      <c r="E31" s="335">
        <f>+E17+E30</f>
        <v>55329831</v>
      </c>
      <c r="F31" s="135" t="s">
        <v>300</v>
      </c>
      <c r="G31" s="334">
        <f>+G17+G30</f>
        <v>26335288</v>
      </c>
      <c r="H31" s="334">
        <f>+H17+H30</f>
        <v>186668446</v>
      </c>
      <c r="I31" s="335">
        <f>+I17+I30</f>
        <v>176300688</v>
      </c>
      <c r="J31" s="817"/>
    </row>
    <row r="32" spans="1:10" ht="13.5" thickBot="1">
      <c r="A32" s="129" t="s">
        <v>32</v>
      </c>
      <c r="B32" s="135" t="s">
        <v>110</v>
      </c>
      <c r="C32" s="334" t="str">
        <f>IF(C17-G17&lt;0,G17-C17,"-")</f>
        <v>-</v>
      </c>
      <c r="D32" s="334">
        <f>IF(D17-H17&lt;0,H17-D17,"-")</f>
        <v>119833828</v>
      </c>
      <c r="E32" s="335">
        <f>IF(E17-I17&lt;0,I17-E17,"-")</f>
        <v>120970857</v>
      </c>
      <c r="F32" s="135" t="s">
        <v>111</v>
      </c>
      <c r="G32" s="334" t="str">
        <f>IF(C17-G17&gt;0,C17-G17,"-")</f>
        <v>-</v>
      </c>
      <c r="H32" s="334" t="str">
        <f>IF(D17-H17&gt;0,D17-H17,"-")</f>
        <v>-</v>
      </c>
      <c r="I32" s="335" t="str">
        <f>IF(E17-I17&gt;0,E17-I17,"-")</f>
        <v>-</v>
      </c>
      <c r="J32" s="817"/>
    </row>
    <row r="33" spans="1:10" ht="13.5" thickBot="1">
      <c r="A33" s="129" t="s">
        <v>33</v>
      </c>
      <c r="B33" s="135" t="s">
        <v>500</v>
      </c>
      <c r="C33" s="334" t="str">
        <f>IF(C31-G31&lt;0,G31-C31,"-")</f>
        <v>-</v>
      </c>
      <c r="D33" s="334">
        <f>IF(D31-H31&lt;0,H31-D31,"-")</f>
        <v>119833828</v>
      </c>
      <c r="E33" s="334">
        <f>IF(E31-I31&lt;0,I31-E31,"-")</f>
        <v>120970857</v>
      </c>
      <c r="F33" s="135" t="s">
        <v>501</v>
      </c>
      <c r="G33" s="334" t="str">
        <f>IF(C31-G31&gt;0,C31-G31,"-")</f>
        <v>-</v>
      </c>
      <c r="H33" s="334" t="str">
        <f>IF(D31-H31&gt;0,D31-H31,"-")</f>
        <v>-</v>
      </c>
      <c r="I33" s="334" t="str">
        <f>IF(E31-I31&gt;0,E31-I31,"-")</f>
        <v>-</v>
      </c>
      <c r="J33" s="817"/>
    </row>
  </sheetData>
  <sheetProtection sheet="1" formatCells="0"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Felhasználó</cp:lastModifiedBy>
  <cp:lastPrinted>2019-05-07T09:02:29Z</cp:lastPrinted>
  <dcterms:created xsi:type="dcterms:W3CDTF">1999-10-30T10:30:45Z</dcterms:created>
  <dcterms:modified xsi:type="dcterms:W3CDTF">2019-05-13T13:16:12Z</dcterms:modified>
  <cp:category/>
  <cp:version/>
  <cp:contentType/>
  <cp:contentStatus/>
</cp:coreProperties>
</file>