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gizsuzsi\Desktop\Dokumentum 2018-tól\rendeletek 2020.09.17\"/>
    </mc:Choice>
  </mc:AlternateContent>
  <bookViews>
    <workbookView xWindow="0" yWindow="0" windowWidth="20490" windowHeight="7155" firstSheet="13" activeTab="14"/>
  </bookViews>
  <sheets>
    <sheet name="Címrend" sheetId="26" r:id="rId1"/>
    <sheet name="1 kiem" sheetId="2" r:id="rId2"/>
    <sheet name="2 Össz" sheetId="3" r:id="rId3"/>
    <sheet name="3 Adók és tám" sheetId="4" r:id="rId4"/>
    <sheet name="4 Átvett és Felh bev" sheetId="5" r:id="rId5"/>
    <sheet name="5 Beruh kiad" sheetId="6" r:id="rId6"/>
    <sheet name="6 Tart" sheetId="7" r:id="rId7"/>
    <sheet name="7 Önk" sheetId="8" r:id="rId8"/>
    <sheet name="8 PH" sheetId="9" r:id="rId9"/>
    <sheet name="9 VGIG" sheetId="10" r:id="rId10"/>
    <sheet name="10 Járób" sheetId="11" r:id="rId11"/>
    <sheet name="11 Szoci" sheetId="12" r:id="rId12"/>
    <sheet name="12 Ovi" sheetId="13" r:id="rId13"/>
    <sheet name="13 Művház" sheetId="14" r:id="rId14"/>
    <sheet name="14 Könyvt" sheetId="15" r:id="rId15"/>
    <sheet name="15 létszám" sheetId="16" r:id="rId16"/>
    <sheet name="16 szociális kiad" sheetId="17" r:id="rId17"/>
    <sheet name="17 hitelek" sheetId="18" r:id="rId18"/>
    <sheet name="18 TÖBB ÉVES" sheetId="27" r:id="rId19"/>
    <sheet name="19 EU projektek" sheetId="25" r:id="rId20"/>
    <sheet name="20 közvetett" sheetId="28" r:id="rId21"/>
    <sheet name="21 MÉRLEG" sheetId="29" r:id="rId22"/>
    <sheet name="22 FELH TERV" sheetId="30" r:id="rId23"/>
    <sheet name="23 GÖRDÜLŐ" sheetId="31" r:id="rId24"/>
  </sheets>
  <definedNames>
    <definedName name="_4._sz._sor_részletezése" localSheetId="18">#REF!</definedName>
    <definedName name="_4._sz._sor_részletezése" localSheetId="19">#REF!</definedName>
    <definedName name="_4._sz._sor_részletezése" localSheetId="20">#REF!</definedName>
    <definedName name="_4._sz._sor_részletezése" localSheetId="21">#REF!</definedName>
    <definedName name="_4._sz._sor_részletezése" localSheetId="22">#REF!</definedName>
    <definedName name="_4._sz._sor_részletezése" localSheetId="23">#REF!</definedName>
    <definedName name="_4._sz._sor_részletezése" localSheetId="0">#REF!</definedName>
    <definedName name="_4._sz._sor_részletezése">#REF!</definedName>
    <definedName name="_pr232" localSheetId="18">'18 TÖBB ÉVES'!$A$15</definedName>
    <definedName name="_pr232" localSheetId="21">'21 MÉRLEG'!#REF!</definedName>
    <definedName name="_pr232" localSheetId="23">'23 GÖRDÜLŐ'!#REF!</definedName>
    <definedName name="_pr233" localSheetId="18">'18 TÖBB ÉVES'!#REF!</definedName>
    <definedName name="_pr233" localSheetId="21">'21 MÉRLEG'!#REF!</definedName>
    <definedName name="_pr233" localSheetId="23">'23 GÖRDÜLŐ'!#REF!</definedName>
    <definedName name="_pr234" localSheetId="18">'18 TÖBB ÉVES'!$A$16</definedName>
    <definedName name="_pr234" localSheetId="21">'21 MÉRLEG'!#REF!</definedName>
    <definedName name="_pr234" localSheetId="23">'23 GÖRDÜLŐ'!#REF!</definedName>
    <definedName name="_pr235" localSheetId="18">'18 TÖBB ÉVES'!$A$17</definedName>
    <definedName name="_pr235" localSheetId="21">'21 MÉRLEG'!#REF!</definedName>
    <definedName name="_pr235" localSheetId="23">'23 GÖRDÜLŐ'!#REF!</definedName>
    <definedName name="_pr236" localSheetId="18">'18 TÖBB ÉVES'!$A$18</definedName>
    <definedName name="_pr236" localSheetId="21">'21 MÉRLEG'!#REF!</definedName>
    <definedName name="_pr236" localSheetId="23">'23 GÖRDÜLŐ'!#REF!</definedName>
    <definedName name="_pr312" localSheetId="18">'18 TÖBB ÉVES'!#REF!</definedName>
    <definedName name="_pr312" localSheetId="21">'21 MÉRLEG'!#REF!</definedName>
    <definedName name="_pr312" localSheetId="23">'23 GÖRDÜLŐ'!#REF!</definedName>
    <definedName name="_pr313" localSheetId="18">'18 TÖBB ÉVES'!$A$4</definedName>
    <definedName name="_pr313" localSheetId="21">'21 MÉRLEG'!#REF!</definedName>
    <definedName name="_pr313" localSheetId="23">'23 GÖRDÜLŐ'!#REF!</definedName>
    <definedName name="_pr314" localSheetId="18">'18 TÖBB ÉVES'!#REF!</definedName>
    <definedName name="_pr314" localSheetId="21">'21 MÉRLEG'!#REF!</definedName>
    <definedName name="_pr314" localSheetId="23">'23 GÖRDÜLŐ'!#REF!</definedName>
    <definedName name="_pr315" localSheetId="18">'18 TÖBB ÉVES'!$A$11</definedName>
    <definedName name="_pr315" localSheetId="21">'21 MÉRLEG'!#REF!</definedName>
    <definedName name="_pr315" localSheetId="23">'23 GÖRDÜLŐ'!$A$5</definedName>
    <definedName name="_pr347" localSheetId="23">'23 GÖRDÜLŐ'!$G$7</definedName>
    <definedName name="_pr348" localSheetId="23">'23 GÖRDÜLŐ'!$G$8</definedName>
    <definedName name="_pr349" localSheetId="23">'23 GÖRDÜLŐ'!$G$9</definedName>
    <definedName name="_pr54" localSheetId="0">Címrend!$B$29</definedName>
    <definedName name="_pr55" localSheetId="0">Címrend!$B$30</definedName>
    <definedName name="_pr56" localSheetId="0">Címrend!$B$31</definedName>
    <definedName name="_pr57" localSheetId="0">Címrend!$B$32</definedName>
    <definedName name="_pr58" localSheetId="0">Címrend!$B$33</definedName>
    <definedName name="_pr59" localSheetId="0">Címrend!$B$34</definedName>
    <definedName name="_pr60" localSheetId="0">Címrend!#REF!</definedName>
    <definedName name="_pr61" localSheetId="0">Címrend!$B$36</definedName>
    <definedName name="_pr62" localSheetId="0">Címrend!$B$37</definedName>
    <definedName name="_pr63" localSheetId="0">Címrend!$B$38</definedName>
    <definedName name="_pr64" localSheetId="0">Címrend!$B$39</definedName>
    <definedName name="_pr65" localSheetId="0">Címrend!$B$40</definedName>
    <definedName name="_pr66" localSheetId="0">Címrend!$B$41</definedName>
    <definedName name="_pr67" localSheetId="0">Címrend!$B$42</definedName>
    <definedName name="_pr68" localSheetId="0">Címrend!$B$43</definedName>
    <definedName name="_pr69" localSheetId="0">Címrend!$B$44</definedName>
    <definedName name="_pr70" localSheetId="0">Címrend!$B$45</definedName>
    <definedName name="_pr71" localSheetId="0">Címrend!$B$46</definedName>
    <definedName name="_pr72" localSheetId="0">Címrend!$B$47</definedName>
    <definedName name="_pr73" localSheetId="0">Címrend!$B$48</definedName>
    <definedName name="Excel_BuiltIn_Print_Area" localSheetId="1">'1 kiem'!$A$1:$D$31</definedName>
    <definedName name="Excel_BuiltIn_Print_Area" localSheetId="10">'10 Járób'!$A$1:$I$131</definedName>
    <definedName name="Excel_BuiltIn_Print_Area" localSheetId="11">'11 Szoci'!$A$1:$I$131</definedName>
    <definedName name="Excel_BuiltIn_Print_Area" localSheetId="12">'12 Ovi'!$A$1:$I$131</definedName>
    <definedName name="Excel_BuiltIn_Print_Area" localSheetId="13">'13 Művház'!$A$1:$I$131</definedName>
    <definedName name="Excel_BuiltIn_Print_Area" localSheetId="14">'14 Könyvt'!$A$1:$I$131</definedName>
    <definedName name="Excel_BuiltIn_Print_Area" localSheetId="15">'15 létszám'!$A$1:$N$38</definedName>
    <definedName name="Excel_BuiltIn_Print_Area" localSheetId="16">'16 szociális kiad'!$A$1:$E$26</definedName>
    <definedName name="Excel_BuiltIn_Print_Area" localSheetId="17">'17 hitelek'!$A$1:$G$84</definedName>
    <definedName name="Excel_BuiltIn_Print_Area" localSheetId="19">'19 EU projektek'!$B$1:$C$131</definedName>
    <definedName name="Excel_BuiltIn_Print_Area" localSheetId="2">'2 Össz'!$A$1:$E$155</definedName>
    <definedName name="Excel_BuiltIn_Print_Area" localSheetId="23">'23 GÖRDÜLŐ'!$A$1:$F$151</definedName>
    <definedName name="Excel_BuiltIn_Print_Area" localSheetId="3">'3 Adók és tám'!$A$1:$E$87</definedName>
    <definedName name="Excel_BuiltIn_Print_Area" localSheetId="4">'4 Átvett és Felh bev'!$A$1:$G$86</definedName>
    <definedName name="Excel_BuiltIn_Print_Area" localSheetId="5">'5 Beruh kiad'!$A$1:$G$102</definedName>
    <definedName name="Excel_BuiltIn_Print_Area" localSheetId="6">'6 Tart'!$A$1:$I$27</definedName>
    <definedName name="Excel_BuiltIn_Print_Area" localSheetId="7">'7 Önk'!$B$1:$AX$131</definedName>
    <definedName name="Excel_BuiltIn_Print_Area" localSheetId="8">'8 PH'!$B$1:$I$134</definedName>
    <definedName name="Excel_BuiltIn_Print_Area" localSheetId="9">'9 VGIG'!$B$1:$I$134</definedName>
    <definedName name="Excel_BuiltIn_Print_Titles" localSheetId="10">'10 Járób'!$A$1:$IJ$5</definedName>
    <definedName name="Excel_BuiltIn_Print_Titles" localSheetId="11">'11 Szoci'!$A$1:$IK$5</definedName>
    <definedName name="Excel_BuiltIn_Print_Titles" localSheetId="12">'12 Ovi'!$A$1:$IL$5</definedName>
    <definedName name="Excel_BuiltIn_Print_Titles" localSheetId="13">'13 Művház'!$A$1:$IM$5</definedName>
    <definedName name="Excel_BuiltIn_Print_Titles" localSheetId="14">'14 Könyvt'!$A$1:$IL$5</definedName>
    <definedName name="Excel_BuiltIn_Print_Titles" localSheetId="19">('19 EU projektek'!$B:$C,'19 EU projektek'!$A$1:$GP$5)</definedName>
    <definedName name="Excel_BuiltIn_Print_Titles" localSheetId="2">'2 Össz'!$A$1:$IL$5</definedName>
    <definedName name="Excel_BuiltIn_Print_Titles" localSheetId="3">'3 Adók és tám'!$A$1:$IP$6</definedName>
    <definedName name="Excel_BuiltIn_Print_Titles" localSheetId="4">'4 Átvett és Felh bev'!$A$1:$IR$9</definedName>
    <definedName name="Excel_BuiltIn_Print_Titles" localSheetId="5">'5 Beruh kiad'!$A$1:$IP$8</definedName>
    <definedName name="Excel_BuiltIn_Print_Titles" localSheetId="7">('7 Önk'!$B:$C,'7 Önk'!$A$1:$GY$5)</definedName>
    <definedName name="Excel_BuiltIn_Print_Titles" localSheetId="8">'8 PH'!$A$1:$IL$5</definedName>
    <definedName name="Excel_BuiltIn_Print_Titles" localSheetId="9">'9 VGIG'!$A$1:$IL$5</definedName>
    <definedName name="_xlnm.Print_Titles" localSheetId="10">'10 Járób'!$1:$5</definedName>
    <definedName name="_xlnm.Print_Titles" localSheetId="11">'11 Szoci'!$1:$5</definedName>
    <definedName name="_xlnm.Print_Titles" localSheetId="12">'12 Ovi'!$1:$5</definedName>
    <definedName name="_xlnm.Print_Titles" localSheetId="13">'13 Művház'!$1:$5</definedName>
    <definedName name="_xlnm.Print_Titles" localSheetId="14">'14 Könyvt'!$1:$5</definedName>
    <definedName name="_xlnm.Print_Titles" localSheetId="19">'19 EU projektek'!$B:$C,'19 EU projektek'!$1:$5</definedName>
    <definedName name="_xlnm.Print_Titles" localSheetId="2">'2 Össz'!$1:$5</definedName>
    <definedName name="_xlnm.Print_Titles" localSheetId="21">'21 MÉRLEG'!$1:$4</definedName>
    <definedName name="_xlnm.Print_Titles" localSheetId="22">'22 FELH TERV'!$1:$6</definedName>
    <definedName name="_xlnm.Print_Titles" localSheetId="23">'23 GÖRDÜLŐ'!$1:$6</definedName>
    <definedName name="_xlnm.Print_Titles" localSheetId="3">'3 Adók és tám'!$1:$6</definedName>
    <definedName name="_xlnm.Print_Titles" localSheetId="4">'4 Átvett és Felh bev'!$1:$9</definedName>
    <definedName name="_xlnm.Print_Titles" localSheetId="5">'5 Beruh kiad'!$1:$8</definedName>
    <definedName name="_xlnm.Print_Titles" localSheetId="7">'7 Önk'!$B:$C,'7 Önk'!$1:$5</definedName>
    <definedName name="_xlnm.Print_Titles" localSheetId="8">'8 PH'!$1:$5</definedName>
    <definedName name="_xlnm.Print_Titles" localSheetId="9">'9 VGIG'!$1:$5</definedName>
    <definedName name="_xlnm.Print_Area" localSheetId="1">'1 kiem'!$A$1:$G$31</definedName>
    <definedName name="_xlnm.Print_Area" localSheetId="10">'10 Járób'!$B$1:$I$131</definedName>
    <definedName name="_xlnm.Print_Area" localSheetId="11">'11 Szoci'!$B$1:$I$131</definedName>
    <definedName name="_xlnm.Print_Area" localSheetId="12">'12 Ovi'!$B$1:$I$131</definedName>
    <definedName name="_xlnm.Print_Area" localSheetId="13">'13 Művház'!$B$1:$I$131</definedName>
    <definedName name="_xlnm.Print_Area" localSheetId="14">'14 Könyvt'!$B$1:$I$131</definedName>
    <definedName name="_xlnm.Print_Area" localSheetId="15">'15 létszám'!$A$1:$T$37</definedName>
    <definedName name="_xlnm.Print_Area" localSheetId="16">'16 szociális kiad'!$B$1:$E$26</definedName>
    <definedName name="_xlnm.Print_Area" localSheetId="17">'17 hitelek'!$B$1:$G$84</definedName>
    <definedName name="_xlnm.Print_Area" localSheetId="18">'18 TÖBB ÉVES'!$A$1:$I$24</definedName>
    <definedName name="_xlnm.Print_Area" localSheetId="19">'19 EU projektek'!$B$1:$AO$131</definedName>
    <definedName name="_xlnm.Print_Area" localSheetId="2">'2 Össz'!$A$1:$H$154</definedName>
    <definedName name="_xlnm.Print_Area" localSheetId="20">'20 közvetett'!$A$1:$E$20</definedName>
    <definedName name="_xlnm.Print_Area" localSheetId="21">'21 MÉRLEG'!$A$1:$E$154</definedName>
    <definedName name="_xlnm.Print_Area" localSheetId="22">'22 FELH TERV'!$A$1:$O$154</definedName>
    <definedName name="_xlnm.Print_Area" localSheetId="23">'23 GÖRDÜLŐ'!$A$1:$F$155</definedName>
    <definedName name="_xlnm.Print_Area" localSheetId="3">'3 Adók és tám'!$B$1:$E$87</definedName>
    <definedName name="_xlnm.Print_Area" localSheetId="4">'4 Átvett és Felh bev'!$B$1:$G$86</definedName>
    <definedName name="_xlnm.Print_Area" localSheetId="5">'5 Beruh kiad'!$B$1:$G$108</definedName>
    <definedName name="_xlnm.Print_Area" localSheetId="6">'6 Tart'!$B$1:$I$27</definedName>
    <definedName name="_xlnm.Print_Area" localSheetId="7">'7 Önk'!$B$1:$AY$131</definedName>
    <definedName name="_xlnm.Print_Area" localSheetId="8">'8 PH'!$B$1:$I$131</definedName>
    <definedName name="_xlnm.Print_Area" localSheetId="9">'9 VGIG'!$B$1:$I$131</definedName>
    <definedName name="_xlnm.Print_Area" localSheetId="0">Címrend!$A$1:$B$18</definedName>
  </definedNames>
  <calcPr calcId="181029"/>
</workbook>
</file>

<file path=xl/calcChain.xml><?xml version="1.0" encoding="utf-8"?>
<calcChain xmlns="http://schemas.openxmlformats.org/spreadsheetml/2006/main">
  <c r="F156" i="31" l="1"/>
  <c r="E156" i="31"/>
  <c r="D156" i="31"/>
  <c r="C156" i="31"/>
  <c r="F80" i="31"/>
  <c r="E80" i="31"/>
  <c r="D80" i="31"/>
  <c r="C80" i="31"/>
  <c r="D142" i="30" l="1"/>
  <c r="D149" i="30" s="1"/>
  <c r="D153" i="30" s="1"/>
  <c r="O139" i="30"/>
  <c r="N139" i="30"/>
  <c r="N142" i="30" s="1"/>
  <c r="N149" i="30" s="1"/>
  <c r="N153" i="30" s="1"/>
  <c r="M139" i="30"/>
  <c r="L139" i="30"/>
  <c r="L142" i="30" s="1"/>
  <c r="L149" i="30" s="1"/>
  <c r="L153" i="30" s="1"/>
  <c r="K139" i="30"/>
  <c r="J139" i="30"/>
  <c r="I139" i="30"/>
  <c r="H139" i="30"/>
  <c r="H142" i="30" s="1"/>
  <c r="H149" i="30" s="1"/>
  <c r="H153" i="30" s="1"/>
  <c r="G139" i="30"/>
  <c r="E139" i="30"/>
  <c r="D139" i="30"/>
  <c r="O138" i="30"/>
  <c r="O142" i="30" s="1"/>
  <c r="O149" i="30" s="1"/>
  <c r="O153" i="30" s="1"/>
  <c r="N138" i="30"/>
  <c r="M138" i="30"/>
  <c r="M142" i="30" s="1"/>
  <c r="M149" i="30" s="1"/>
  <c r="M153" i="30" s="1"/>
  <c r="K138" i="30"/>
  <c r="K142" i="30" s="1"/>
  <c r="K149" i="30" s="1"/>
  <c r="K153" i="30" s="1"/>
  <c r="J138" i="30"/>
  <c r="J142" i="30" s="1"/>
  <c r="J149" i="30" s="1"/>
  <c r="J153" i="30" s="1"/>
  <c r="I138" i="30"/>
  <c r="I142" i="30" s="1"/>
  <c r="I149" i="30" s="1"/>
  <c r="I153" i="30" s="1"/>
  <c r="H138" i="30"/>
  <c r="G138" i="30"/>
  <c r="G142" i="30" s="1"/>
  <c r="G149" i="30" s="1"/>
  <c r="G153" i="30" s="1"/>
  <c r="F138" i="30"/>
  <c r="F142" i="30" s="1"/>
  <c r="F149" i="30" s="1"/>
  <c r="F153" i="30" s="1"/>
  <c r="E138" i="30"/>
  <c r="E142" i="30" s="1"/>
  <c r="E149" i="30" s="1"/>
  <c r="E153" i="30" s="1"/>
  <c r="D138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N125" i="30"/>
  <c r="J125" i="30"/>
  <c r="F125" i="30"/>
  <c r="N124" i="30"/>
  <c r="M124" i="30"/>
  <c r="L124" i="30"/>
  <c r="K124" i="30"/>
  <c r="J124" i="30"/>
  <c r="I124" i="30"/>
  <c r="H124" i="30"/>
  <c r="G124" i="30"/>
  <c r="E124" i="30"/>
  <c r="D124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O120" i="30"/>
  <c r="O125" i="30" s="1"/>
  <c r="N120" i="30"/>
  <c r="M120" i="30"/>
  <c r="L120" i="30"/>
  <c r="L125" i="30" s="1"/>
  <c r="K120" i="30"/>
  <c r="K125" i="30" s="1"/>
  <c r="J120" i="30"/>
  <c r="I120" i="30"/>
  <c r="H120" i="30"/>
  <c r="G120" i="30"/>
  <c r="G125" i="30" s="1"/>
  <c r="F120" i="30"/>
  <c r="E120" i="30"/>
  <c r="E125" i="30" s="1"/>
  <c r="D120" i="30"/>
  <c r="D125" i="30" s="1"/>
  <c r="O118" i="30"/>
  <c r="N118" i="30"/>
  <c r="M118" i="30"/>
  <c r="L118" i="30"/>
  <c r="K118" i="30"/>
  <c r="J118" i="30"/>
  <c r="H118" i="30"/>
  <c r="G118" i="30"/>
  <c r="F118" i="30"/>
  <c r="E118" i="30"/>
  <c r="D118" i="30"/>
  <c r="I114" i="30"/>
  <c r="I118" i="30" s="1"/>
  <c r="E112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O107" i="30"/>
  <c r="N107" i="30"/>
  <c r="M107" i="30"/>
  <c r="L107" i="30"/>
  <c r="K107" i="30"/>
  <c r="J107" i="30"/>
  <c r="I107" i="30"/>
  <c r="H107" i="30"/>
  <c r="G107" i="30"/>
  <c r="F107" i="30"/>
  <c r="F112" i="30" s="1"/>
  <c r="E107" i="30"/>
  <c r="D107" i="30"/>
  <c r="O106" i="30"/>
  <c r="N106" i="30"/>
  <c r="M106" i="30"/>
  <c r="L106" i="30"/>
  <c r="K106" i="30"/>
  <c r="J106" i="30"/>
  <c r="I106" i="30"/>
  <c r="H106" i="30"/>
  <c r="G106" i="30"/>
  <c r="E106" i="30"/>
  <c r="D106" i="30"/>
  <c r="O105" i="30"/>
  <c r="N105" i="30"/>
  <c r="M105" i="30"/>
  <c r="L105" i="30"/>
  <c r="K105" i="30"/>
  <c r="J105" i="30"/>
  <c r="I105" i="30"/>
  <c r="H105" i="30"/>
  <c r="E105" i="30"/>
  <c r="D105" i="30"/>
  <c r="O104" i="30"/>
  <c r="N104" i="30"/>
  <c r="M104" i="30"/>
  <c r="L104" i="30"/>
  <c r="K104" i="30"/>
  <c r="J104" i="30"/>
  <c r="I104" i="30"/>
  <c r="H104" i="30"/>
  <c r="G104" i="30"/>
  <c r="E104" i="30"/>
  <c r="D104" i="30"/>
  <c r="O103" i="30"/>
  <c r="N103" i="30"/>
  <c r="M103" i="30"/>
  <c r="M112" i="30" s="1"/>
  <c r="L103" i="30"/>
  <c r="K103" i="30"/>
  <c r="J103" i="30"/>
  <c r="I103" i="30"/>
  <c r="I112" i="30" s="1"/>
  <c r="H103" i="30"/>
  <c r="G103" i="30"/>
  <c r="E103" i="30"/>
  <c r="D103" i="30"/>
  <c r="O102" i="30"/>
  <c r="N102" i="30"/>
  <c r="M102" i="30"/>
  <c r="L102" i="30"/>
  <c r="K102" i="30"/>
  <c r="J102" i="30"/>
  <c r="I102" i="30"/>
  <c r="H102" i="30"/>
  <c r="E102" i="30"/>
  <c r="D102" i="30"/>
  <c r="O101" i="30"/>
  <c r="O112" i="30" s="1"/>
  <c r="N101" i="30"/>
  <c r="N112" i="30" s="1"/>
  <c r="N127" i="30" s="1"/>
  <c r="M101" i="30"/>
  <c r="L101" i="30"/>
  <c r="L112" i="30" s="1"/>
  <c r="K101" i="30"/>
  <c r="K112" i="30" s="1"/>
  <c r="J101" i="30"/>
  <c r="J112" i="30" s="1"/>
  <c r="J126" i="30" s="1"/>
  <c r="J154" i="30" s="1"/>
  <c r="I101" i="30"/>
  <c r="H101" i="30"/>
  <c r="H112" i="30" s="1"/>
  <c r="G101" i="30"/>
  <c r="G112" i="30" s="1"/>
  <c r="E101" i="30"/>
  <c r="D101" i="30"/>
  <c r="D112" i="30" s="1"/>
  <c r="M100" i="30"/>
  <c r="E100" i="30"/>
  <c r="O99" i="30"/>
  <c r="N99" i="30"/>
  <c r="N100" i="30" s="1"/>
  <c r="M99" i="30"/>
  <c r="L99" i="30"/>
  <c r="K99" i="30"/>
  <c r="K100" i="30" s="1"/>
  <c r="J99" i="30"/>
  <c r="J100" i="30" s="1"/>
  <c r="J127" i="30" s="1"/>
  <c r="I99" i="30"/>
  <c r="H99" i="30"/>
  <c r="G99" i="30"/>
  <c r="F99" i="30"/>
  <c r="E99" i="30"/>
  <c r="D99" i="30"/>
  <c r="D100" i="30" s="1"/>
  <c r="M98" i="30"/>
  <c r="L98" i="30"/>
  <c r="I98" i="30"/>
  <c r="H98" i="30"/>
  <c r="G98" i="30"/>
  <c r="F98" i="30"/>
  <c r="E98" i="30"/>
  <c r="O97" i="30"/>
  <c r="O100" i="30" s="1"/>
  <c r="M97" i="30"/>
  <c r="L97" i="30"/>
  <c r="L100" i="30" s="1"/>
  <c r="I97" i="30"/>
  <c r="I100" i="30" s="1"/>
  <c r="H97" i="30"/>
  <c r="H100" i="30" s="1"/>
  <c r="G97" i="30"/>
  <c r="G100" i="30" s="1"/>
  <c r="F97" i="30"/>
  <c r="F100" i="30" s="1"/>
  <c r="F126" i="30" s="1"/>
  <c r="F154" i="30" s="1"/>
  <c r="E97" i="30"/>
  <c r="J93" i="30"/>
  <c r="I93" i="30"/>
  <c r="H93" i="30"/>
  <c r="E91" i="30"/>
  <c r="E92" i="30" s="1"/>
  <c r="L86" i="30"/>
  <c r="L92" i="30" s="1"/>
  <c r="H86" i="30"/>
  <c r="H92" i="30" s="1"/>
  <c r="D86" i="30"/>
  <c r="D92" i="30" s="1"/>
  <c r="O84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O80" i="30"/>
  <c r="O86" i="30" s="1"/>
  <c r="O92" i="30" s="1"/>
  <c r="N80" i="30"/>
  <c r="N86" i="30" s="1"/>
  <c r="N92" i="30" s="1"/>
  <c r="M80" i="30"/>
  <c r="M86" i="30" s="1"/>
  <c r="M92" i="30" s="1"/>
  <c r="L80" i="30"/>
  <c r="K80" i="30"/>
  <c r="K86" i="30" s="1"/>
  <c r="K92" i="30" s="1"/>
  <c r="J80" i="30"/>
  <c r="J86" i="30" s="1"/>
  <c r="J92" i="30" s="1"/>
  <c r="I80" i="30"/>
  <c r="I86" i="30" s="1"/>
  <c r="I92" i="30" s="1"/>
  <c r="H80" i="30"/>
  <c r="G80" i="30"/>
  <c r="G86" i="30" s="1"/>
  <c r="G92" i="30" s="1"/>
  <c r="F80" i="30"/>
  <c r="F86" i="30" s="1"/>
  <c r="F92" i="30" s="1"/>
  <c r="E80" i="30"/>
  <c r="E86" i="30" s="1"/>
  <c r="D80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O74" i="30"/>
  <c r="O76" i="30" s="1"/>
  <c r="N74" i="30"/>
  <c r="N76" i="30" s="1"/>
  <c r="M74" i="30"/>
  <c r="L74" i="30"/>
  <c r="K74" i="30"/>
  <c r="K76" i="30" s="1"/>
  <c r="J74" i="30"/>
  <c r="J76" i="30" s="1"/>
  <c r="I74" i="30"/>
  <c r="H74" i="30"/>
  <c r="G74" i="30"/>
  <c r="G76" i="30" s="1"/>
  <c r="F74" i="30"/>
  <c r="F76" i="30" s="1"/>
  <c r="E74" i="30"/>
  <c r="D74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O70" i="30"/>
  <c r="O72" i="30" s="1"/>
  <c r="N70" i="30"/>
  <c r="N72" i="30" s="1"/>
  <c r="M70" i="30"/>
  <c r="M72" i="30" s="1"/>
  <c r="M76" i="30" s="1"/>
  <c r="L70" i="30"/>
  <c r="L72" i="30" s="1"/>
  <c r="K70" i="30"/>
  <c r="K72" i="30" s="1"/>
  <c r="J70" i="30"/>
  <c r="J72" i="30" s="1"/>
  <c r="I70" i="30"/>
  <c r="I72" i="30" s="1"/>
  <c r="H70" i="30"/>
  <c r="H72" i="30" s="1"/>
  <c r="G70" i="30"/>
  <c r="G72" i="30" s="1"/>
  <c r="F70" i="30"/>
  <c r="F72" i="30" s="1"/>
  <c r="E70" i="30"/>
  <c r="E72" i="30" s="1"/>
  <c r="D70" i="30"/>
  <c r="D72" i="30" s="1"/>
  <c r="D76" i="30" s="1"/>
  <c r="O69" i="30"/>
  <c r="N69" i="30"/>
  <c r="M69" i="30"/>
  <c r="L69" i="30"/>
  <c r="K69" i="30"/>
  <c r="J69" i="30"/>
  <c r="I69" i="30"/>
  <c r="H69" i="30"/>
  <c r="G69" i="30"/>
  <c r="F69" i="30"/>
  <c r="E69" i="30"/>
  <c r="D69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M57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O53" i="30"/>
  <c r="N53" i="30"/>
  <c r="M53" i="30"/>
  <c r="L53" i="30"/>
  <c r="K53" i="30"/>
  <c r="J53" i="30"/>
  <c r="I53" i="30"/>
  <c r="H53" i="30"/>
  <c r="G53" i="30"/>
  <c r="F53" i="30"/>
  <c r="E53" i="30"/>
  <c r="E57" i="30" s="1"/>
  <c r="D53" i="30"/>
  <c r="O52" i="30"/>
  <c r="N52" i="30"/>
  <c r="M52" i="30"/>
  <c r="L52" i="30"/>
  <c r="K52" i="30"/>
  <c r="J52" i="30"/>
  <c r="I52" i="30"/>
  <c r="I57" i="30" s="1"/>
  <c r="H52" i="30"/>
  <c r="G52" i="30"/>
  <c r="F52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O48" i="30"/>
  <c r="O57" i="30" s="1"/>
  <c r="N48" i="30"/>
  <c r="N57" i="30" s="1"/>
  <c r="M48" i="30"/>
  <c r="L48" i="30"/>
  <c r="L57" i="30" s="1"/>
  <c r="K48" i="30"/>
  <c r="K57" i="30" s="1"/>
  <c r="J48" i="30"/>
  <c r="J57" i="30" s="1"/>
  <c r="I48" i="30"/>
  <c r="H48" i="30"/>
  <c r="H57" i="30" s="1"/>
  <c r="G48" i="30"/>
  <c r="G57" i="30" s="1"/>
  <c r="F48" i="30"/>
  <c r="F57" i="30" s="1"/>
  <c r="E48" i="30"/>
  <c r="D48" i="30"/>
  <c r="D57" i="30" s="1"/>
  <c r="G47" i="30"/>
  <c r="O46" i="30"/>
  <c r="O47" i="30" s="1"/>
  <c r="N46" i="30"/>
  <c r="N47" i="30" s="1"/>
  <c r="K46" i="30"/>
  <c r="K47" i="30" s="1"/>
  <c r="J46" i="30"/>
  <c r="J47" i="30" s="1"/>
  <c r="I46" i="30"/>
  <c r="I47" i="30" s="1"/>
  <c r="H46" i="30"/>
  <c r="H47" i="30" s="1"/>
  <c r="G46" i="30"/>
  <c r="F46" i="30"/>
  <c r="F47" i="30" s="1"/>
  <c r="E46" i="30"/>
  <c r="E47" i="30" s="1"/>
  <c r="D46" i="30"/>
  <c r="D47" i="30" s="1"/>
  <c r="M43" i="30"/>
  <c r="L43" i="30"/>
  <c r="K43" i="30"/>
  <c r="F43" i="30"/>
  <c r="O42" i="30"/>
  <c r="K42" i="30"/>
  <c r="G42" i="30"/>
  <c r="E42" i="30"/>
  <c r="D42" i="30"/>
  <c r="N41" i="30"/>
  <c r="N42" i="30" s="1"/>
  <c r="M41" i="30"/>
  <c r="M42" i="30" s="1"/>
  <c r="L41" i="30"/>
  <c r="L42" i="30" s="1"/>
  <c r="K41" i="30"/>
  <c r="J41" i="30"/>
  <c r="J42" i="30" s="1"/>
  <c r="I41" i="30"/>
  <c r="I42" i="30" s="1"/>
  <c r="H41" i="30"/>
  <c r="H42" i="30" s="1"/>
  <c r="G41" i="30"/>
  <c r="F41" i="30"/>
  <c r="F42" i="30" s="1"/>
  <c r="O36" i="30"/>
  <c r="M33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O19" i="30"/>
  <c r="O33" i="30" s="1"/>
  <c r="N19" i="30"/>
  <c r="N33" i="30" s="1"/>
  <c r="N34" i="30" s="1"/>
  <c r="M19" i="30"/>
  <c r="L19" i="30"/>
  <c r="L33" i="30" s="1"/>
  <c r="K19" i="30"/>
  <c r="K33" i="30" s="1"/>
  <c r="J19" i="30"/>
  <c r="J33" i="30" s="1"/>
  <c r="J34" i="30" s="1"/>
  <c r="I19" i="30"/>
  <c r="I33" i="30" s="1"/>
  <c r="H19" i="30"/>
  <c r="H33" i="30" s="1"/>
  <c r="G19" i="30"/>
  <c r="G33" i="30" s="1"/>
  <c r="F19" i="30"/>
  <c r="F33" i="30" s="1"/>
  <c r="F34" i="30" s="1"/>
  <c r="E19" i="30"/>
  <c r="E33" i="30" s="1"/>
  <c r="D19" i="30"/>
  <c r="D33" i="30" s="1"/>
  <c r="O18" i="30"/>
  <c r="N18" i="30"/>
  <c r="M18" i="30"/>
  <c r="L18" i="30"/>
  <c r="K18" i="30"/>
  <c r="J18" i="30"/>
  <c r="I18" i="30"/>
  <c r="H18" i="30"/>
  <c r="G18" i="30"/>
  <c r="F18" i="30"/>
  <c r="E18" i="30"/>
  <c r="D18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O12" i="30"/>
  <c r="O17" i="30" s="1"/>
  <c r="N12" i="30"/>
  <c r="N17" i="30" s="1"/>
  <c r="M12" i="30"/>
  <c r="M17" i="30" s="1"/>
  <c r="L12" i="30"/>
  <c r="L17" i="30" s="1"/>
  <c r="K12" i="30"/>
  <c r="K17" i="30" s="1"/>
  <c r="J12" i="30"/>
  <c r="J17" i="30" s="1"/>
  <c r="I12" i="30"/>
  <c r="I17" i="30" s="1"/>
  <c r="H12" i="30"/>
  <c r="H17" i="30" s="1"/>
  <c r="G12" i="30"/>
  <c r="G17" i="30" s="1"/>
  <c r="F12" i="30"/>
  <c r="F17" i="30" s="1"/>
  <c r="E12" i="30"/>
  <c r="E17" i="30" s="1"/>
  <c r="D12" i="30"/>
  <c r="D17" i="30" s="1"/>
  <c r="O11" i="30"/>
  <c r="N11" i="30"/>
  <c r="M11" i="30"/>
  <c r="L11" i="30"/>
  <c r="K11" i="30"/>
  <c r="J11" i="30"/>
  <c r="I11" i="30"/>
  <c r="H11" i="30"/>
  <c r="G11" i="30"/>
  <c r="F11" i="30"/>
  <c r="E11" i="30"/>
  <c r="D11" i="30"/>
  <c r="E10" i="30"/>
  <c r="O9" i="30"/>
  <c r="N9" i="30"/>
  <c r="M9" i="30"/>
  <c r="L9" i="30"/>
  <c r="K9" i="30"/>
  <c r="J9" i="30"/>
  <c r="I9" i="30"/>
  <c r="H9" i="30"/>
  <c r="G9" i="30"/>
  <c r="F9" i="30"/>
  <c r="E9" i="30"/>
  <c r="D9" i="30"/>
  <c r="O8" i="30"/>
  <c r="O10" i="30" s="1"/>
  <c r="N8" i="30"/>
  <c r="N10" i="30" s="1"/>
  <c r="M8" i="30"/>
  <c r="M10" i="30" s="1"/>
  <c r="L8" i="30"/>
  <c r="L10" i="30" s="1"/>
  <c r="K8" i="30"/>
  <c r="K10" i="30" s="1"/>
  <c r="J8" i="30"/>
  <c r="J10" i="30" s="1"/>
  <c r="I8" i="30"/>
  <c r="I10" i="30" s="1"/>
  <c r="H8" i="30"/>
  <c r="H10" i="30" s="1"/>
  <c r="G8" i="30"/>
  <c r="G10" i="30" s="1"/>
  <c r="F8" i="30"/>
  <c r="F10" i="30" s="1"/>
  <c r="E8" i="30"/>
  <c r="D8" i="30"/>
  <c r="D10" i="30" s="1"/>
  <c r="M34" i="30" l="1"/>
  <c r="M127" i="30" s="1"/>
  <c r="E34" i="30"/>
  <c r="E127" i="30" s="1"/>
  <c r="I34" i="30"/>
  <c r="I127" i="30" s="1"/>
  <c r="E58" i="30"/>
  <c r="E59" i="30"/>
  <c r="E77" i="30" s="1"/>
  <c r="I58" i="30"/>
  <c r="I59" i="30"/>
  <c r="E76" i="30"/>
  <c r="I76" i="30"/>
  <c r="D59" i="30"/>
  <c r="D77" i="30" s="1"/>
  <c r="D58" i="30"/>
  <c r="D128" i="30" s="1"/>
  <c r="H59" i="30"/>
  <c r="H58" i="30"/>
  <c r="D126" i="30"/>
  <c r="D154" i="30" s="1"/>
  <c r="H125" i="30"/>
  <c r="L126" i="30"/>
  <c r="L154" i="30" s="1"/>
  <c r="F127" i="30"/>
  <c r="G34" i="30"/>
  <c r="G127" i="30" s="1"/>
  <c r="K34" i="30"/>
  <c r="O34" i="30"/>
  <c r="D127" i="30"/>
  <c r="E128" i="30"/>
  <c r="E126" i="30"/>
  <c r="E154" i="30" s="1"/>
  <c r="I125" i="30"/>
  <c r="M125" i="30"/>
  <c r="D34" i="30"/>
  <c r="H34" i="30"/>
  <c r="H127" i="30" s="1"/>
  <c r="L34" i="30"/>
  <c r="L127" i="30" s="1"/>
  <c r="M46" i="30"/>
  <c r="M47" i="30" s="1"/>
  <c r="F59" i="30"/>
  <c r="F77" i="30" s="1"/>
  <c r="F58" i="30"/>
  <c r="F128" i="30" s="1"/>
  <c r="J59" i="30"/>
  <c r="J77" i="30" s="1"/>
  <c r="J58" i="30"/>
  <c r="J128" i="30" s="1"/>
  <c r="N59" i="30"/>
  <c r="N77" i="30" s="1"/>
  <c r="N58" i="30"/>
  <c r="N128" i="30" s="1"/>
  <c r="H76" i="30"/>
  <c r="L76" i="30"/>
  <c r="G59" i="30"/>
  <c r="G77" i="30" s="1"/>
  <c r="G58" i="30"/>
  <c r="K59" i="30"/>
  <c r="K77" i="30" s="1"/>
  <c r="K58" i="30"/>
  <c r="O59" i="30"/>
  <c r="O77" i="30" s="1"/>
  <c r="O58" i="30"/>
  <c r="K127" i="30"/>
  <c r="O127" i="30"/>
  <c r="G128" i="30"/>
  <c r="G126" i="30"/>
  <c r="G154" i="30" s="1"/>
  <c r="K128" i="30"/>
  <c r="K126" i="30"/>
  <c r="K154" i="30" s="1"/>
  <c r="O128" i="30"/>
  <c r="O126" i="30"/>
  <c r="O154" i="30" s="1"/>
  <c r="N126" i="30"/>
  <c r="N154" i="30" s="1"/>
  <c r="L46" i="30"/>
  <c r="L47" i="30" s="1"/>
  <c r="E18" i="28"/>
  <c r="E19" i="28" s="1"/>
  <c r="L58" i="30" l="1"/>
  <c r="L128" i="30" s="1"/>
  <c r="L59" i="30"/>
  <c r="L77" i="30" s="1"/>
  <c r="M58" i="30"/>
  <c r="M128" i="30" s="1"/>
  <c r="M59" i="30"/>
  <c r="M77" i="30" s="1"/>
  <c r="I128" i="30"/>
  <c r="I126" i="30"/>
  <c r="I154" i="30" s="1"/>
  <c r="H128" i="30"/>
  <c r="H126" i="30"/>
  <c r="H154" i="30" s="1"/>
  <c r="M126" i="30"/>
  <c r="M154" i="30" s="1"/>
  <c r="H77" i="30"/>
  <c r="I77" i="30"/>
  <c r="H22" i="27"/>
  <c r="H23" i="27" s="1"/>
  <c r="G22" i="27"/>
  <c r="F22" i="27"/>
  <c r="F23" i="27" s="1"/>
  <c r="E22" i="27"/>
  <c r="D22" i="27"/>
  <c r="D23" i="27" s="1"/>
  <c r="C22" i="27"/>
  <c r="I21" i="27"/>
  <c r="I20" i="27"/>
  <c r="I19" i="27"/>
  <c r="I22" i="27" s="1"/>
  <c r="I23" i="27" s="1"/>
  <c r="H18" i="27"/>
  <c r="G18" i="27"/>
  <c r="F18" i="27"/>
  <c r="E18" i="27"/>
  <c r="D18" i="27"/>
  <c r="C18" i="27"/>
  <c r="I17" i="27"/>
  <c r="C17" i="27"/>
  <c r="I16" i="27"/>
  <c r="I15" i="27"/>
  <c r="I18" i="27" s="1"/>
  <c r="I14" i="27"/>
  <c r="H14" i="27"/>
  <c r="G14" i="27"/>
  <c r="G23" i="27" s="1"/>
  <c r="F14" i="27"/>
  <c r="E14" i="27"/>
  <c r="E23" i="27" s="1"/>
  <c r="D14" i="27"/>
  <c r="C14" i="27"/>
  <c r="C23" i="27" s="1"/>
  <c r="I12" i="27"/>
  <c r="H11" i="27"/>
  <c r="G11" i="27"/>
  <c r="F11" i="27"/>
  <c r="E11" i="27"/>
  <c r="D11" i="27"/>
  <c r="C11" i="27"/>
  <c r="I10" i="27"/>
  <c r="I9" i="27"/>
  <c r="I11" i="27" s="1"/>
  <c r="I8" i="27"/>
  <c r="H2" i="3" l="1"/>
  <c r="E2" i="4" s="1"/>
  <c r="G2" i="5" s="1"/>
  <c r="G2" i="6" s="1"/>
  <c r="I2" i="7" s="1"/>
  <c r="J21" i="7"/>
  <c r="G12" i="7"/>
  <c r="G20" i="7"/>
  <c r="I2" i="8" l="1"/>
  <c r="I2" i="9"/>
  <c r="I2" i="10" s="1"/>
  <c r="I2" i="11" s="1"/>
  <c r="I2" i="12" s="1"/>
  <c r="I2" i="13" s="1"/>
  <c r="I2" i="14" s="1"/>
  <c r="I2" i="15" s="1"/>
  <c r="I2" i="25" s="1"/>
  <c r="G133" i="25"/>
  <c r="H133" i="25"/>
  <c r="I133" i="25"/>
  <c r="G44" i="3"/>
  <c r="G43" i="3"/>
  <c r="F15" i="3"/>
  <c r="F11" i="3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T35" i="16"/>
  <c r="S35" i="16"/>
  <c r="T34" i="16"/>
  <c r="S34" i="16"/>
  <c r="T33" i="16"/>
  <c r="S33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T31" i="16"/>
  <c r="S31" i="16"/>
  <c r="T30" i="16"/>
  <c r="S30" i="16"/>
  <c r="T29" i="16"/>
  <c r="S29" i="16"/>
  <c r="T28" i="16"/>
  <c r="S28" i="16"/>
  <c r="D27" i="16"/>
  <c r="T27" i="16" s="1"/>
  <c r="C27" i="16"/>
  <c r="S27" i="16" s="1"/>
  <c r="T25" i="16"/>
  <c r="S25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T23" i="16"/>
  <c r="S23" i="16"/>
  <c r="T22" i="16"/>
  <c r="S22" i="16"/>
  <c r="T21" i="16"/>
  <c r="S21" i="16"/>
  <c r="T20" i="16"/>
  <c r="S20" i="16"/>
  <c r="T19" i="16"/>
  <c r="S19" i="16"/>
  <c r="T18" i="16"/>
  <c r="S18" i="16"/>
  <c r="T17" i="16"/>
  <c r="S17" i="16"/>
  <c r="T16" i="16"/>
  <c r="S16" i="16"/>
  <c r="T15" i="16"/>
  <c r="S15" i="16"/>
  <c r="T14" i="16"/>
  <c r="S14" i="16"/>
  <c r="T13" i="16"/>
  <c r="S13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T11" i="16"/>
  <c r="S11" i="16"/>
  <c r="T10" i="16"/>
  <c r="S10" i="16"/>
  <c r="T9" i="16"/>
  <c r="S9" i="16"/>
  <c r="T8" i="16"/>
  <c r="S8" i="16"/>
  <c r="H37" i="16" l="1"/>
  <c r="T12" i="16"/>
  <c r="P37" i="16"/>
  <c r="S36" i="16"/>
  <c r="M37" i="16"/>
  <c r="D32" i="16"/>
  <c r="T36" i="16"/>
  <c r="C32" i="16"/>
  <c r="C37" i="16" s="1"/>
  <c r="S12" i="16"/>
  <c r="E37" i="16"/>
  <c r="R37" i="16"/>
  <c r="Q37" i="16"/>
  <c r="O37" i="16"/>
  <c r="N37" i="16"/>
  <c r="L37" i="16"/>
  <c r="K37" i="16"/>
  <c r="T24" i="16"/>
  <c r="J37" i="16"/>
  <c r="I37" i="16"/>
  <c r="S24" i="16"/>
  <c r="G37" i="16"/>
  <c r="F37" i="16"/>
  <c r="D37" i="16"/>
  <c r="S26" i="16"/>
  <c r="S32" i="16" s="1"/>
  <c r="T26" i="16"/>
  <c r="T32" i="16" s="1"/>
  <c r="T37" i="16" l="1"/>
  <c r="S37" i="16"/>
  <c r="Y101" i="8" l="1"/>
  <c r="G79" i="5"/>
  <c r="G82" i="5"/>
  <c r="G85" i="5"/>
  <c r="G67" i="5"/>
  <c r="G76" i="5"/>
  <c r="F92" i="6"/>
  <c r="F69" i="6"/>
  <c r="F70" i="6"/>
  <c r="F65" i="6"/>
  <c r="K40" i="8" l="1"/>
  <c r="K37" i="8"/>
  <c r="K29" i="8"/>
  <c r="K32" i="8" s="1"/>
  <c r="AQ29" i="8"/>
  <c r="AQ32" i="8" s="1"/>
  <c r="K15" i="8"/>
  <c r="S14" i="25"/>
  <c r="K13" i="8"/>
  <c r="AC13" i="25"/>
  <c r="K14" i="8"/>
  <c r="K12" i="8"/>
  <c r="K11" i="8"/>
  <c r="K10" i="8"/>
  <c r="K8" i="8"/>
  <c r="G8" i="8" s="1"/>
  <c r="H8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K94" i="8"/>
  <c r="L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AO94" i="8"/>
  <c r="AP94" i="8"/>
  <c r="AQ94" i="8"/>
  <c r="AR94" i="8"/>
  <c r="AS94" i="8"/>
  <c r="AT94" i="8"/>
  <c r="AU94" i="8"/>
  <c r="AV94" i="8"/>
  <c r="AW94" i="8"/>
  <c r="AX94" i="8"/>
  <c r="AY94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L32" i="8"/>
  <c r="AM32" i="8"/>
  <c r="AN32" i="8"/>
  <c r="AO32" i="8"/>
  <c r="AP32" i="8"/>
  <c r="AR32" i="8"/>
  <c r="AS32" i="8"/>
  <c r="AT32" i="8"/>
  <c r="AU32" i="8"/>
  <c r="AV32" i="8"/>
  <c r="AX32" i="8"/>
  <c r="AY32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K41" i="8" l="1"/>
  <c r="H114" i="8" l="1"/>
  <c r="J114" i="8"/>
  <c r="G115" i="8" l="1"/>
  <c r="H115" i="8"/>
  <c r="G116" i="8"/>
  <c r="H116" i="8"/>
  <c r="I115" i="8" l="1"/>
  <c r="H117" i="8"/>
  <c r="I116" i="8"/>
  <c r="AO122" i="25"/>
  <c r="H122" i="25" s="1"/>
  <c r="AN122" i="25"/>
  <c r="E122" i="25" s="1"/>
  <c r="G122" i="25"/>
  <c r="D122" i="25"/>
  <c r="H121" i="25"/>
  <c r="G121" i="25"/>
  <c r="H120" i="25"/>
  <c r="G120" i="25"/>
  <c r="H119" i="25"/>
  <c r="G119" i="25"/>
  <c r="H118" i="25"/>
  <c r="G118" i="25"/>
  <c r="AO117" i="25"/>
  <c r="AN117" i="25"/>
  <c r="AM117" i="25"/>
  <c r="AM126" i="25" s="1"/>
  <c r="AM130" i="25" s="1"/>
  <c r="AL117" i="25"/>
  <c r="AL126" i="25" s="1"/>
  <c r="AL130" i="25" s="1"/>
  <c r="AI117" i="25"/>
  <c r="AI126" i="25" s="1"/>
  <c r="AI130" i="25" s="1"/>
  <c r="AH117" i="25"/>
  <c r="AH126" i="25" s="1"/>
  <c r="AH130" i="25" s="1"/>
  <c r="AG117" i="25"/>
  <c r="AG126" i="25" s="1"/>
  <c r="AG130" i="25" s="1"/>
  <c r="AF117" i="25"/>
  <c r="AF126" i="25" s="1"/>
  <c r="AF130" i="25" s="1"/>
  <c r="AE117" i="25"/>
  <c r="AE126" i="25" s="1"/>
  <c r="AE130" i="25" s="1"/>
  <c r="AD117" i="25"/>
  <c r="AD126" i="25" s="1"/>
  <c r="AD130" i="25" s="1"/>
  <c r="AC117" i="25"/>
  <c r="AC126" i="25" s="1"/>
  <c r="AC130" i="25" s="1"/>
  <c r="AB117" i="25"/>
  <c r="AB126" i="25" s="1"/>
  <c r="AB130" i="25" s="1"/>
  <c r="AA117" i="25"/>
  <c r="AA126" i="25" s="1"/>
  <c r="AA130" i="25" s="1"/>
  <c r="Z117" i="25"/>
  <c r="Z126" i="25" s="1"/>
  <c r="Z130" i="25" s="1"/>
  <c r="Y117" i="25"/>
  <c r="Y126" i="25" s="1"/>
  <c r="Y130" i="25" s="1"/>
  <c r="X117" i="25"/>
  <c r="X126" i="25" s="1"/>
  <c r="X130" i="25" s="1"/>
  <c r="W117" i="25"/>
  <c r="W126" i="25" s="1"/>
  <c r="W130" i="25" s="1"/>
  <c r="V117" i="25"/>
  <c r="V126" i="25" s="1"/>
  <c r="V130" i="25" s="1"/>
  <c r="U117" i="25"/>
  <c r="U126" i="25" s="1"/>
  <c r="U130" i="25" s="1"/>
  <c r="T117" i="25"/>
  <c r="T126" i="25" s="1"/>
  <c r="T130" i="25" s="1"/>
  <c r="S117" i="25"/>
  <c r="S126" i="25" s="1"/>
  <c r="S130" i="25" s="1"/>
  <c r="R117" i="25"/>
  <c r="R126" i="25" s="1"/>
  <c r="R130" i="25" s="1"/>
  <c r="Q117" i="25"/>
  <c r="Q126" i="25" s="1"/>
  <c r="Q130" i="25" s="1"/>
  <c r="P117" i="25"/>
  <c r="P126" i="25" s="1"/>
  <c r="P130" i="25" s="1"/>
  <c r="O117" i="25"/>
  <c r="O126" i="25" s="1"/>
  <c r="O130" i="25" s="1"/>
  <c r="N117" i="25"/>
  <c r="N126" i="25" s="1"/>
  <c r="N130" i="25" s="1"/>
  <c r="K117" i="25"/>
  <c r="K126" i="25" s="1"/>
  <c r="K130" i="25" s="1"/>
  <c r="J117" i="25"/>
  <c r="J126" i="25" s="1"/>
  <c r="J130" i="25" s="1"/>
  <c r="H116" i="25"/>
  <c r="G116" i="25"/>
  <c r="I115" i="25"/>
  <c r="H115" i="25"/>
  <c r="G115" i="25"/>
  <c r="F115" i="25"/>
  <c r="AK114" i="25"/>
  <c r="AK117" i="25" s="1"/>
  <c r="AK126" i="25" s="1"/>
  <c r="AK130" i="25" s="1"/>
  <c r="AJ114" i="25"/>
  <c r="AJ117" i="25" s="1"/>
  <c r="AJ126" i="25" s="1"/>
  <c r="AJ130" i="25" s="1"/>
  <c r="M114" i="25"/>
  <c r="M117" i="25" s="1"/>
  <c r="M126" i="25" s="1"/>
  <c r="M130" i="25" s="1"/>
  <c r="L114" i="25"/>
  <c r="E114" i="25" s="1"/>
  <c r="H113" i="25"/>
  <c r="G113" i="25"/>
  <c r="E113" i="25"/>
  <c r="D138" i="3" s="1"/>
  <c r="D113" i="25"/>
  <c r="AN107" i="25"/>
  <c r="AL107" i="25"/>
  <c r="AJ107" i="25"/>
  <c r="AI107" i="25"/>
  <c r="AH107" i="25"/>
  <c r="AG107" i="25"/>
  <c r="AF107" i="25"/>
  <c r="AE107" i="25"/>
  <c r="AD107" i="25"/>
  <c r="AC107" i="25"/>
  <c r="AB107" i="25"/>
  <c r="Z107" i="25"/>
  <c r="Y107" i="25"/>
  <c r="X107" i="25"/>
  <c r="V107" i="25"/>
  <c r="U107" i="25"/>
  <c r="T107" i="25"/>
  <c r="R107" i="25"/>
  <c r="P107" i="25"/>
  <c r="N107" i="25"/>
  <c r="L107" i="25"/>
  <c r="K107" i="25"/>
  <c r="J107" i="25"/>
  <c r="I101" i="25"/>
  <c r="F101" i="25"/>
  <c r="AN100" i="25"/>
  <c r="AL100" i="25"/>
  <c r="AJ100" i="25"/>
  <c r="AI100" i="25"/>
  <c r="AH100" i="25"/>
  <c r="AG100" i="25"/>
  <c r="AF100" i="25"/>
  <c r="AE100" i="25"/>
  <c r="AD100" i="25"/>
  <c r="AC100" i="25"/>
  <c r="AB100" i="25"/>
  <c r="Z100" i="25"/>
  <c r="Y100" i="25"/>
  <c r="X100" i="25"/>
  <c r="V100" i="25"/>
  <c r="U100" i="25"/>
  <c r="T100" i="25"/>
  <c r="R100" i="25"/>
  <c r="Q100" i="25"/>
  <c r="P100" i="25"/>
  <c r="O100" i="25"/>
  <c r="N100" i="25"/>
  <c r="L100" i="25"/>
  <c r="K100" i="25"/>
  <c r="J100" i="25"/>
  <c r="AN94" i="25"/>
  <c r="AL94" i="25"/>
  <c r="AJ94" i="25"/>
  <c r="AI94" i="25"/>
  <c r="AH94" i="25"/>
  <c r="AG94" i="25"/>
  <c r="AF94" i="25"/>
  <c r="AE94" i="25"/>
  <c r="AD94" i="25"/>
  <c r="AC94" i="25"/>
  <c r="AB94" i="25"/>
  <c r="Z94" i="25"/>
  <c r="Y94" i="25"/>
  <c r="X94" i="25"/>
  <c r="V94" i="25"/>
  <c r="U94" i="25"/>
  <c r="T94" i="25"/>
  <c r="R94" i="25"/>
  <c r="Q94" i="25"/>
  <c r="P94" i="25"/>
  <c r="O94" i="25"/>
  <c r="N94" i="25"/>
  <c r="M94" i="25"/>
  <c r="L94" i="25"/>
  <c r="K94" i="25"/>
  <c r="J94" i="25"/>
  <c r="I82" i="25"/>
  <c r="F82" i="25"/>
  <c r="AM75" i="25"/>
  <c r="AL75" i="25"/>
  <c r="AG75" i="25"/>
  <c r="AF75" i="25"/>
  <c r="O75" i="25"/>
  <c r="N75" i="25"/>
  <c r="AO74" i="25"/>
  <c r="AN74" i="25"/>
  <c r="AM74" i="25"/>
  <c r="AL74" i="25"/>
  <c r="AK74" i="25"/>
  <c r="AK108" i="25" s="1"/>
  <c r="AJ74" i="25"/>
  <c r="AI74" i="25"/>
  <c r="AH74" i="25"/>
  <c r="AG74" i="25"/>
  <c r="AF74" i="25"/>
  <c r="AE74" i="25"/>
  <c r="AD74" i="25"/>
  <c r="AC74" i="25"/>
  <c r="AB74" i="25"/>
  <c r="AA74" i="25"/>
  <c r="AA108" i="25" s="1"/>
  <c r="Z74" i="25"/>
  <c r="Y74" i="25"/>
  <c r="X74" i="25"/>
  <c r="W74" i="25"/>
  <c r="V74" i="25"/>
  <c r="U74" i="25"/>
  <c r="T74" i="25"/>
  <c r="O74" i="25"/>
  <c r="N74" i="25"/>
  <c r="M74" i="25"/>
  <c r="L74" i="25"/>
  <c r="K74" i="25"/>
  <c r="J74" i="25"/>
  <c r="G73" i="25"/>
  <c r="D73" i="25"/>
  <c r="D74" i="25" s="1"/>
  <c r="AO67" i="25"/>
  <c r="AN67" i="25"/>
  <c r="AM67" i="25"/>
  <c r="AL67" i="25"/>
  <c r="AK67" i="25"/>
  <c r="AJ67" i="25"/>
  <c r="AI67" i="25"/>
  <c r="AH67" i="25"/>
  <c r="AG67" i="25"/>
  <c r="AF67" i="25"/>
  <c r="AE67" i="25"/>
  <c r="AD67" i="25"/>
  <c r="AC67" i="25"/>
  <c r="AB67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F67" i="25"/>
  <c r="AO63" i="25"/>
  <c r="AN63" i="25"/>
  <c r="AM63" i="25"/>
  <c r="AL63" i="25"/>
  <c r="AK63" i="25"/>
  <c r="AJ63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AO56" i="25"/>
  <c r="AN56" i="25"/>
  <c r="AM56" i="25"/>
  <c r="AL56" i="25"/>
  <c r="AK56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AM46" i="25"/>
  <c r="AL46" i="25"/>
  <c r="AF46" i="25"/>
  <c r="Y46" i="25"/>
  <c r="X46" i="25"/>
  <c r="U46" i="25"/>
  <c r="T46" i="25"/>
  <c r="S46" i="25"/>
  <c r="R46" i="25"/>
  <c r="Q46" i="25"/>
  <c r="P46" i="25"/>
  <c r="M46" i="25"/>
  <c r="L46" i="25"/>
  <c r="K46" i="25"/>
  <c r="J46" i="25"/>
  <c r="AK45" i="25"/>
  <c r="AJ45" i="25"/>
  <c r="AE45" i="25"/>
  <c r="AD45" i="25"/>
  <c r="AC45" i="25"/>
  <c r="AB45" i="25"/>
  <c r="AA45" i="25"/>
  <c r="O45" i="25"/>
  <c r="N45" i="25"/>
  <c r="H44" i="25"/>
  <c r="G44" i="25"/>
  <c r="E44" i="25"/>
  <c r="D44" i="25"/>
  <c r="H43" i="25"/>
  <c r="G43" i="25"/>
  <c r="E43" i="25"/>
  <c r="D43" i="25"/>
  <c r="AK42" i="25"/>
  <c r="AJ42" i="25"/>
  <c r="AG42" i="25"/>
  <c r="AG46" i="25" s="1"/>
  <c r="AE42" i="25"/>
  <c r="AD42" i="25"/>
  <c r="AC42" i="25"/>
  <c r="AB42" i="25"/>
  <c r="AA42" i="25"/>
  <c r="W42" i="25"/>
  <c r="V42" i="25"/>
  <c r="O42" i="25"/>
  <c r="N42" i="25"/>
  <c r="AI41" i="25"/>
  <c r="AH41" i="25"/>
  <c r="AE41" i="25"/>
  <c r="AD41" i="25"/>
  <c r="AC41" i="25"/>
  <c r="AB41" i="25"/>
  <c r="AA41" i="25"/>
  <c r="Z41" i="25"/>
  <c r="W41" i="25"/>
  <c r="V41" i="25"/>
  <c r="U41" i="25"/>
  <c r="T41" i="25"/>
  <c r="O41" i="25"/>
  <c r="N41" i="25"/>
  <c r="AK40" i="25"/>
  <c r="AJ40" i="25"/>
  <c r="M40" i="25"/>
  <c r="L40" i="25"/>
  <c r="H39" i="25"/>
  <c r="G39" i="25"/>
  <c r="D39" i="25"/>
  <c r="F39" i="25" s="1"/>
  <c r="H38" i="25"/>
  <c r="G38" i="25"/>
  <c r="D38" i="25"/>
  <c r="F38" i="25" s="1"/>
  <c r="AO37" i="25"/>
  <c r="AN37" i="25"/>
  <c r="AK37" i="25"/>
  <c r="AJ37" i="25"/>
  <c r="H36" i="25"/>
  <c r="G36" i="25"/>
  <c r="E36" i="25"/>
  <c r="D36" i="25"/>
  <c r="H34" i="25"/>
  <c r="G34" i="25"/>
  <c r="E34" i="25"/>
  <c r="D34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Q32" i="25"/>
  <c r="P32" i="25"/>
  <c r="O32" i="25"/>
  <c r="N32" i="25"/>
  <c r="M32" i="25"/>
  <c r="L32" i="25"/>
  <c r="K32" i="25"/>
  <c r="J32" i="25"/>
  <c r="H29" i="25"/>
  <c r="G29" i="25"/>
  <c r="E29" i="25"/>
  <c r="D29" i="25"/>
  <c r="H28" i="25"/>
  <c r="G28" i="25"/>
  <c r="F28" i="25"/>
  <c r="H27" i="25"/>
  <c r="G27" i="25"/>
  <c r="F27" i="25"/>
  <c r="H26" i="25"/>
  <c r="G26" i="25"/>
  <c r="F26" i="25"/>
  <c r="H25" i="25"/>
  <c r="G25" i="25"/>
  <c r="F25" i="25"/>
  <c r="H24" i="25"/>
  <c r="G24" i="25"/>
  <c r="F24" i="25"/>
  <c r="U23" i="25"/>
  <c r="U32" i="25" s="1"/>
  <c r="T23" i="25"/>
  <c r="T32" i="25" s="1"/>
  <c r="S23" i="25"/>
  <c r="S7" i="25" s="1"/>
  <c r="R23" i="25"/>
  <c r="R32" i="25" s="1"/>
  <c r="G23" i="25"/>
  <c r="D23" i="25"/>
  <c r="H22" i="25"/>
  <c r="G22" i="25"/>
  <c r="F22" i="25"/>
  <c r="H21" i="25"/>
  <c r="G21" i="25"/>
  <c r="F21" i="25"/>
  <c r="H20" i="25"/>
  <c r="G20" i="25"/>
  <c r="F20" i="25"/>
  <c r="H19" i="25"/>
  <c r="G19" i="25"/>
  <c r="E19" i="25"/>
  <c r="D19" i="25"/>
  <c r="AM16" i="25"/>
  <c r="AL16" i="25"/>
  <c r="AA16" i="25"/>
  <c r="Z16" i="25"/>
  <c r="W16" i="25"/>
  <c r="V16" i="25"/>
  <c r="O16" i="25"/>
  <c r="N16" i="25"/>
  <c r="K16" i="25"/>
  <c r="J16" i="25"/>
  <c r="AK15" i="25"/>
  <c r="AJ15" i="25"/>
  <c r="AI15" i="25"/>
  <c r="AH15" i="25"/>
  <c r="AG15" i="25"/>
  <c r="AF15" i="25"/>
  <c r="Y15" i="25"/>
  <c r="X15" i="25"/>
  <c r="U15" i="25"/>
  <c r="T15" i="25"/>
  <c r="S15" i="25"/>
  <c r="R15" i="25"/>
  <c r="Q15" i="25"/>
  <c r="P15" i="25"/>
  <c r="M15" i="25"/>
  <c r="L15" i="25"/>
  <c r="U14" i="25"/>
  <c r="T14" i="25"/>
  <c r="R14" i="25"/>
  <c r="Q14" i="25"/>
  <c r="P14" i="25"/>
  <c r="G14" i="25"/>
  <c r="D14" i="25"/>
  <c r="AO13" i="25"/>
  <c r="AO16" i="25" s="1"/>
  <c r="AN13" i="25"/>
  <c r="AN16" i="25" s="1"/>
  <c r="AK13" i="25"/>
  <c r="AJ13" i="25"/>
  <c r="AI13" i="25"/>
  <c r="AH13" i="25"/>
  <c r="AG13" i="25"/>
  <c r="AF13" i="25"/>
  <c r="AE13" i="25"/>
  <c r="AE16" i="25" s="1"/>
  <c r="AD13" i="25"/>
  <c r="AD16" i="25" s="1"/>
  <c r="AB13" i="25"/>
  <c r="Y13" i="25"/>
  <c r="X13" i="25"/>
  <c r="U13" i="25"/>
  <c r="T13" i="25"/>
  <c r="S13" i="25"/>
  <c r="R13" i="25"/>
  <c r="Q13" i="25"/>
  <c r="P13" i="25"/>
  <c r="M13" i="25"/>
  <c r="L13" i="25"/>
  <c r="S12" i="25"/>
  <c r="H12" i="25" s="1"/>
  <c r="R12" i="25"/>
  <c r="E12" i="25" s="1"/>
  <c r="G12" i="25"/>
  <c r="D12" i="25"/>
  <c r="U11" i="25"/>
  <c r="T11" i="25"/>
  <c r="S11" i="25"/>
  <c r="R11" i="25"/>
  <c r="Q11" i="25"/>
  <c r="P11" i="25"/>
  <c r="G11" i="25"/>
  <c r="D11" i="25"/>
  <c r="AK10" i="25"/>
  <c r="AJ10" i="25"/>
  <c r="Y10" i="25"/>
  <c r="X10" i="25"/>
  <c r="V10" i="25"/>
  <c r="V7" i="25" s="1"/>
  <c r="V9" i="25" s="1"/>
  <c r="U10" i="25"/>
  <c r="T10" i="25"/>
  <c r="S10" i="25"/>
  <c r="R10" i="25"/>
  <c r="Q10" i="25"/>
  <c r="P10" i="25"/>
  <c r="O10" i="25"/>
  <c r="N10" i="25"/>
  <c r="L10" i="25"/>
  <c r="K10" i="25"/>
  <c r="J10" i="25"/>
  <c r="AO9" i="25"/>
  <c r="AN9" i="25"/>
  <c r="AM9" i="25"/>
  <c r="AL9" i="25"/>
  <c r="AI9" i="25"/>
  <c r="AH9" i="25"/>
  <c r="AG9" i="25"/>
  <c r="AF9" i="25"/>
  <c r="AE9" i="25"/>
  <c r="AD9" i="25"/>
  <c r="AC9" i="25"/>
  <c r="AB9" i="25"/>
  <c r="AA9" i="25"/>
  <c r="Z9" i="25"/>
  <c r="O9" i="25"/>
  <c r="N9" i="25"/>
  <c r="M9" i="25"/>
  <c r="L8" i="25"/>
  <c r="G8" i="25"/>
  <c r="D8" i="25"/>
  <c r="AK7" i="25"/>
  <c r="AK9" i="25" s="1"/>
  <c r="AJ7" i="25"/>
  <c r="AJ9" i="25" s="1"/>
  <c r="Y7" i="25"/>
  <c r="Y9" i="25" s="1"/>
  <c r="X7" i="25"/>
  <c r="W7" i="25"/>
  <c r="W9" i="25" s="1"/>
  <c r="U7" i="25"/>
  <c r="T7" i="25"/>
  <c r="Q7" i="25"/>
  <c r="P7" i="25"/>
  <c r="P9" i="25" s="1"/>
  <c r="L7" i="25"/>
  <c r="L9" i="25" s="1"/>
  <c r="K7" i="25"/>
  <c r="K9" i="25" s="1"/>
  <c r="J7" i="25"/>
  <c r="J9" i="25" s="1"/>
  <c r="Y2" i="25"/>
  <c r="AG2" i="25" s="1"/>
  <c r="AO2" i="25" s="1"/>
  <c r="Q2" i="25"/>
  <c r="Y1" i="25"/>
  <c r="AG1" i="25" s="1"/>
  <c r="AO1" i="25" s="1"/>
  <c r="Q1" i="25"/>
  <c r="G83" i="18"/>
  <c r="F83" i="18"/>
  <c r="E83" i="18"/>
  <c r="D83" i="18"/>
  <c r="G60" i="18"/>
  <c r="G61" i="18" s="1"/>
  <c r="F60" i="18"/>
  <c r="F61" i="18" s="1"/>
  <c r="E60" i="18"/>
  <c r="E61" i="18" s="1"/>
  <c r="D60" i="18"/>
  <c r="D61" i="18" s="1"/>
  <c r="G58" i="18"/>
  <c r="F58" i="18"/>
  <c r="E58" i="18"/>
  <c r="D58" i="18"/>
  <c r="G55" i="18"/>
  <c r="G62" i="18" s="1"/>
  <c r="G75" i="18" s="1"/>
  <c r="F55" i="18"/>
  <c r="F62" i="18" s="1"/>
  <c r="F75" i="18" s="1"/>
  <c r="E55" i="18"/>
  <c r="E62" i="18" s="1"/>
  <c r="E75" i="18" s="1"/>
  <c r="D55" i="18"/>
  <c r="D62" i="18" s="1"/>
  <c r="D75" i="18" s="1"/>
  <c r="F51" i="18"/>
  <c r="D51" i="18"/>
  <c r="G49" i="18"/>
  <c r="F49" i="18"/>
  <c r="E49" i="18"/>
  <c r="D49" i="18"/>
  <c r="G30" i="18"/>
  <c r="G33" i="18" s="1"/>
  <c r="F30" i="18"/>
  <c r="F33" i="18" s="1"/>
  <c r="E30" i="18"/>
  <c r="E33" i="18" s="1"/>
  <c r="D30" i="18"/>
  <c r="D33" i="18" s="1"/>
  <c r="F19" i="18"/>
  <c r="F22" i="18" s="1"/>
  <c r="D19" i="18"/>
  <c r="D20" i="18" s="1"/>
  <c r="G13" i="18"/>
  <c r="G22" i="18" s="1"/>
  <c r="G39" i="18" s="1"/>
  <c r="F13" i="18"/>
  <c r="F14" i="18" s="1"/>
  <c r="E13" i="18"/>
  <c r="E22" i="18" s="1"/>
  <c r="D13" i="18"/>
  <c r="D14" i="18" s="1"/>
  <c r="E28" i="17"/>
  <c r="D28" i="17"/>
  <c r="E26" i="17"/>
  <c r="E30" i="17" s="1"/>
  <c r="D26" i="17"/>
  <c r="D30" i="17" s="1"/>
  <c r="I129" i="15"/>
  <c r="F129" i="15"/>
  <c r="I128" i="15"/>
  <c r="F128" i="15"/>
  <c r="I127" i="15"/>
  <c r="F127" i="15"/>
  <c r="I125" i="15"/>
  <c r="F125" i="15"/>
  <c r="I124" i="15"/>
  <c r="F124" i="15"/>
  <c r="I123" i="15"/>
  <c r="F123" i="15"/>
  <c r="H122" i="15"/>
  <c r="E122" i="15"/>
  <c r="D121" i="15"/>
  <c r="F121" i="15" s="1"/>
  <c r="I120" i="15"/>
  <c r="F120" i="15"/>
  <c r="I119" i="15"/>
  <c r="F119" i="15"/>
  <c r="I118" i="15"/>
  <c r="F118" i="15"/>
  <c r="H117" i="15"/>
  <c r="H126" i="15" s="1"/>
  <c r="H130" i="15" s="1"/>
  <c r="H134" i="15" s="1"/>
  <c r="G117" i="15"/>
  <c r="E117" i="15"/>
  <c r="E126" i="15" s="1"/>
  <c r="E130" i="15" s="1"/>
  <c r="E134" i="15" s="1"/>
  <c r="D117" i="15"/>
  <c r="I116" i="15"/>
  <c r="F116" i="15"/>
  <c r="I115" i="15"/>
  <c r="F115" i="15"/>
  <c r="I114" i="15"/>
  <c r="F114" i="15"/>
  <c r="I113" i="15"/>
  <c r="I117" i="15" s="1"/>
  <c r="F113" i="15"/>
  <c r="F117" i="15" s="1"/>
  <c r="I112" i="15"/>
  <c r="F112" i="15"/>
  <c r="I111" i="15"/>
  <c r="F111" i="15"/>
  <c r="H107" i="15"/>
  <c r="H110" i="15" s="1"/>
  <c r="G107" i="15"/>
  <c r="E107" i="15"/>
  <c r="D107" i="15"/>
  <c r="I106" i="15"/>
  <c r="F106" i="15"/>
  <c r="I105" i="15"/>
  <c r="F105" i="15"/>
  <c r="I102" i="15"/>
  <c r="I107" i="15" s="1"/>
  <c r="I108" i="15" s="1"/>
  <c r="F102" i="15"/>
  <c r="F107" i="15" s="1"/>
  <c r="I101" i="15"/>
  <c r="F101" i="15"/>
  <c r="H100" i="15"/>
  <c r="G100" i="15"/>
  <c r="E100" i="15"/>
  <c r="E108" i="15" s="1"/>
  <c r="D100" i="15"/>
  <c r="I99" i="15"/>
  <c r="F99" i="15"/>
  <c r="I98" i="15"/>
  <c r="F98" i="15"/>
  <c r="I97" i="15"/>
  <c r="F97" i="15"/>
  <c r="I96" i="15"/>
  <c r="I100" i="15" s="1"/>
  <c r="F96" i="15"/>
  <c r="I95" i="15"/>
  <c r="F95" i="15"/>
  <c r="F100" i="15" s="1"/>
  <c r="H94" i="15"/>
  <c r="G94" i="15"/>
  <c r="E94" i="15"/>
  <c r="D94" i="15"/>
  <c r="I93" i="15"/>
  <c r="F93" i="15"/>
  <c r="I92" i="15"/>
  <c r="F92" i="15"/>
  <c r="I91" i="15"/>
  <c r="F91" i="15"/>
  <c r="I90" i="15"/>
  <c r="F90" i="15"/>
  <c r="I89" i="15"/>
  <c r="F89" i="15"/>
  <c r="I88" i="15"/>
  <c r="F88" i="15"/>
  <c r="I87" i="15"/>
  <c r="F87" i="15"/>
  <c r="I86" i="15"/>
  <c r="F86" i="15"/>
  <c r="I85" i="15"/>
  <c r="F85" i="15"/>
  <c r="I84" i="15"/>
  <c r="F84" i="15"/>
  <c r="I83" i="15"/>
  <c r="I94" i="15" s="1"/>
  <c r="F83" i="15"/>
  <c r="F94" i="15" s="1"/>
  <c r="H82" i="15"/>
  <c r="G82" i="15"/>
  <c r="E82" i="15"/>
  <c r="D82" i="15"/>
  <c r="I81" i="15"/>
  <c r="F81" i="15"/>
  <c r="I80" i="15"/>
  <c r="F80" i="15"/>
  <c r="I79" i="15"/>
  <c r="F79" i="15"/>
  <c r="I78" i="15"/>
  <c r="F78" i="15"/>
  <c r="I77" i="15"/>
  <c r="F77" i="15"/>
  <c r="F82" i="15" s="1"/>
  <c r="I76" i="15"/>
  <c r="I82" i="15" s="1"/>
  <c r="F76" i="15"/>
  <c r="I75" i="15"/>
  <c r="F75" i="15"/>
  <c r="H74" i="15"/>
  <c r="G74" i="15"/>
  <c r="E74" i="15"/>
  <c r="D74" i="15"/>
  <c r="I73" i="15"/>
  <c r="I74" i="15" s="1"/>
  <c r="F73" i="15"/>
  <c r="F74" i="15" s="1"/>
  <c r="I72" i="15"/>
  <c r="F72" i="15"/>
  <c r="I71" i="15"/>
  <c r="F71" i="15"/>
  <c r="I70" i="15"/>
  <c r="F70" i="15"/>
  <c r="I69" i="15"/>
  <c r="F69" i="15"/>
  <c r="I68" i="15"/>
  <c r="F68" i="15"/>
  <c r="H63" i="15"/>
  <c r="G63" i="15"/>
  <c r="E63" i="15"/>
  <c r="D63" i="15"/>
  <c r="I62" i="15"/>
  <c r="F62" i="15"/>
  <c r="I61" i="15"/>
  <c r="I63" i="15" s="1"/>
  <c r="F61" i="15"/>
  <c r="I60" i="15"/>
  <c r="F60" i="15"/>
  <c r="F63" i="15" s="1"/>
  <c r="I59" i="15"/>
  <c r="F59" i="15"/>
  <c r="H56" i="15"/>
  <c r="H57" i="15" s="1"/>
  <c r="G56" i="15"/>
  <c r="E56" i="15"/>
  <c r="E57" i="15" s="1"/>
  <c r="D56" i="15"/>
  <c r="D58" i="15" s="1"/>
  <c r="D64" i="15" s="1"/>
  <c r="I55" i="15"/>
  <c r="F55" i="15"/>
  <c r="I54" i="15"/>
  <c r="F54" i="15"/>
  <c r="I53" i="15"/>
  <c r="F53" i="15"/>
  <c r="I52" i="15"/>
  <c r="F52" i="15"/>
  <c r="I51" i="15"/>
  <c r="F51" i="15"/>
  <c r="I50" i="15"/>
  <c r="F50" i="15"/>
  <c r="I49" i="15"/>
  <c r="F49" i="15"/>
  <c r="I48" i="15"/>
  <c r="F48" i="15"/>
  <c r="I47" i="15"/>
  <c r="I56" i="15" s="1"/>
  <c r="F47" i="15"/>
  <c r="F56" i="15" s="1"/>
  <c r="H46" i="15"/>
  <c r="G46" i="15"/>
  <c r="E46" i="15"/>
  <c r="D46" i="15"/>
  <c r="I45" i="15"/>
  <c r="F45" i="15"/>
  <c r="I44" i="15"/>
  <c r="F44" i="15"/>
  <c r="I43" i="15"/>
  <c r="F43" i="15"/>
  <c r="I42" i="15"/>
  <c r="I46" i="15" s="1"/>
  <c r="F42" i="15"/>
  <c r="F46" i="15" s="1"/>
  <c r="H41" i="15"/>
  <c r="G41" i="15"/>
  <c r="E41" i="15"/>
  <c r="D41" i="15"/>
  <c r="I40" i="15"/>
  <c r="F40" i="15"/>
  <c r="I39" i="15"/>
  <c r="F39" i="15"/>
  <c r="I38" i="15"/>
  <c r="F38" i="15"/>
  <c r="I37" i="15"/>
  <c r="F37" i="15"/>
  <c r="I36" i="15"/>
  <c r="F36" i="15"/>
  <c r="I35" i="15"/>
  <c r="F35" i="15"/>
  <c r="I34" i="15"/>
  <c r="I41" i="15" s="1"/>
  <c r="F34" i="15"/>
  <c r="F41" i="15" s="1"/>
  <c r="H32" i="15"/>
  <c r="H33" i="15" s="1"/>
  <c r="H109" i="15" s="1"/>
  <c r="G32" i="15"/>
  <c r="E32" i="15"/>
  <c r="E33" i="15" s="1"/>
  <c r="D32" i="15"/>
  <c r="D33" i="15" s="1"/>
  <c r="D109" i="15" s="1"/>
  <c r="I31" i="15"/>
  <c r="F31" i="15"/>
  <c r="I30" i="15"/>
  <c r="F30" i="15"/>
  <c r="I29" i="15"/>
  <c r="F29" i="15"/>
  <c r="I28" i="15"/>
  <c r="F28" i="15"/>
  <c r="I27" i="15"/>
  <c r="F27" i="15"/>
  <c r="I26" i="15"/>
  <c r="F26" i="15"/>
  <c r="I25" i="15"/>
  <c r="F25" i="15"/>
  <c r="I24" i="15"/>
  <c r="F24" i="15"/>
  <c r="I23" i="15"/>
  <c r="F23" i="15"/>
  <c r="I22" i="15"/>
  <c r="F22" i="15"/>
  <c r="I21" i="15"/>
  <c r="F21" i="15"/>
  <c r="I20" i="15"/>
  <c r="F20" i="15"/>
  <c r="I19" i="15"/>
  <c r="F19" i="15"/>
  <c r="I18" i="15"/>
  <c r="I32" i="15" s="1"/>
  <c r="F18" i="15"/>
  <c r="F32" i="15" s="1"/>
  <c r="I17" i="15"/>
  <c r="F17" i="15"/>
  <c r="H16" i="15"/>
  <c r="E16" i="15"/>
  <c r="D16" i="15"/>
  <c r="I15" i="15"/>
  <c r="D15" i="15"/>
  <c r="F15" i="15" s="1"/>
  <c r="I14" i="15"/>
  <c r="F14" i="15"/>
  <c r="G13" i="15"/>
  <c r="G16" i="15" s="1"/>
  <c r="F13" i="15"/>
  <c r="D13" i="15"/>
  <c r="I12" i="15"/>
  <c r="F12" i="15"/>
  <c r="I11" i="15"/>
  <c r="F11" i="15"/>
  <c r="I10" i="15"/>
  <c r="F10" i="15"/>
  <c r="H9" i="15"/>
  <c r="G9" i="15"/>
  <c r="E9" i="15"/>
  <c r="D9" i="15"/>
  <c r="I8" i="15"/>
  <c r="F8" i="15"/>
  <c r="I7" i="15"/>
  <c r="I9" i="15" s="1"/>
  <c r="F7" i="15"/>
  <c r="F9" i="15" s="1"/>
  <c r="I129" i="14"/>
  <c r="F129" i="14"/>
  <c r="I128" i="14"/>
  <c r="F128" i="14"/>
  <c r="I127" i="14"/>
  <c r="F127" i="14"/>
  <c r="I125" i="14"/>
  <c r="F125" i="14"/>
  <c r="I124" i="14"/>
  <c r="F124" i="14"/>
  <c r="I123" i="14"/>
  <c r="F123" i="14"/>
  <c r="H122" i="14"/>
  <c r="E122" i="14"/>
  <c r="G121" i="14"/>
  <c r="G122" i="14" s="1"/>
  <c r="I122" i="14" s="1"/>
  <c r="F121" i="14"/>
  <c r="D121" i="14"/>
  <c r="D122" i="14" s="1"/>
  <c r="I120" i="14"/>
  <c r="F120" i="14"/>
  <c r="I119" i="14"/>
  <c r="F119" i="14"/>
  <c r="I118" i="14"/>
  <c r="F118" i="14"/>
  <c r="G117" i="14"/>
  <c r="E117" i="14"/>
  <c r="E126" i="14" s="1"/>
  <c r="E130" i="14" s="1"/>
  <c r="E134" i="14" s="1"/>
  <c r="D117" i="14"/>
  <c r="I116" i="14"/>
  <c r="F116" i="14"/>
  <c r="I115" i="14"/>
  <c r="F115" i="14"/>
  <c r="I114" i="14"/>
  <c r="F114" i="14"/>
  <c r="I113" i="14"/>
  <c r="I117" i="14" s="1"/>
  <c r="H113" i="14"/>
  <c r="E113" i="14"/>
  <c r="F113" i="14" s="1"/>
  <c r="F117" i="14" s="1"/>
  <c r="I112" i="14"/>
  <c r="F112" i="14"/>
  <c r="I111" i="14"/>
  <c r="F111" i="14"/>
  <c r="H107" i="14"/>
  <c r="G107" i="14"/>
  <c r="E107" i="14"/>
  <c r="D107" i="14"/>
  <c r="I106" i="14"/>
  <c r="F106" i="14"/>
  <c r="I105" i="14"/>
  <c r="F105" i="14"/>
  <c r="I102" i="14"/>
  <c r="I107" i="14" s="1"/>
  <c r="F102" i="14"/>
  <c r="F107" i="14" s="1"/>
  <c r="I101" i="14"/>
  <c r="F101" i="14"/>
  <c r="H100" i="14"/>
  <c r="G100" i="14"/>
  <c r="E100" i="14"/>
  <c r="D100" i="14"/>
  <c r="I99" i="14"/>
  <c r="F99" i="14"/>
  <c r="I98" i="14"/>
  <c r="F98" i="14"/>
  <c r="I97" i="14"/>
  <c r="F97" i="14"/>
  <c r="I96" i="14"/>
  <c r="I100" i="14" s="1"/>
  <c r="F96" i="14"/>
  <c r="I95" i="14"/>
  <c r="F95" i="14"/>
  <c r="F100" i="14" s="1"/>
  <c r="H94" i="14"/>
  <c r="G94" i="14"/>
  <c r="E94" i="14"/>
  <c r="D94" i="14"/>
  <c r="I93" i="14"/>
  <c r="F93" i="14"/>
  <c r="I92" i="14"/>
  <c r="F92" i="14"/>
  <c r="I91" i="14"/>
  <c r="F91" i="14"/>
  <c r="I90" i="14"/>
  <c r="F90" i="14"/>
  <c r="I89" i="14"/>
  <c r="F89" i="14"/>
  <c r="I88" i="14"/>
  <c r="F88" i="14"/>
  <c r="I87" i="14"/>
  <c r="F87" i="14"/>
  <c r="I86" i="14"/>
  <c r="F86" i="14"/>
  <c r="I85" i="14"/>
  <c r="F85" i="14"/>
  <c r="I84" i="14"/>
  <c r="I94" i="14" s="1"/>
  <c r="F84" i="14"/>
  <c r="I83" i="14"/>
  <c r="F83" i="14"/>
  <c r="F94" i="14" s="1"/>
  <c r="H82" i="14"/>
  <c r="G82" i="14"/>
  <c r="E82" i="14"/>
  <c r="D82" i="14"/>
  <c r="I81" i="14"/>
  <c r="F81" i="14"/>
  <c r="I80" i="14"/>
  <c r="F80" i="14"/>
  <c r="I79" i="14"/>
  <c r="F79" i="14"/>
  <c r="I78" i="14"/>
  <c r="F78" i="14"/>
  <c r="I77" i="14"/>
  <c r="F77" i="14"/>
  <c r="I76" i="14"/>
  <c r="I82" i="14" s="1"/>
  <c r="F76" i="14"/>
  <c r="F82" i="14" s="1"/>
  <c r="I75" i="14"/>
  <c r="F75" i="14"/>
  <c r="H74" i="14"/>
  <c r="G74" i="14"/>
  <c r="E74" i="14"/>
  <c r="D74" i="14"/>
  <c r="I73" i="14"/>
  <c r="F73" i="14"/>
  <c r="F74" i="14" s="1"/>
  <c r="I72" i="14"/>
  <c r="I74" i="14" s="1"/>
  <c r="F72" i="14"/>
  <c r="I71" i="14"/>
  <c r="F71" i="14"/>
  <c r="I70" i="14"/>
  <c r="F70" i="14"/>
  <c r="I69" i="14"/>
  <c r="F69" i="14"/>
  <c r="I68" i="14"/>
  <c r="F68" i="14"/>
  <c r="H63" i="14"/>
  <c r="G63" i="14"/>
  <c r="E63" i="14"/>
  <c r="D63" i="14"/>
  <c r="I62" i="14"/>
  <c r="F62" i="14"/>
  <c r="I61" i="14"/>
  <c r="I63" i="14" s="1"/>
  <c r="F61" i="14"/>
  <c r="F63" i="14" s="1"/>
  <c r="I60" i="14"/>
  <c r="F60" i="14"/>
  <c r="I59" i="14"/>
  <c r="F59" i="14"/>
  <c r="H56" i="14"/>
  <c r="G56" i="14"/>
  <c r="G57" i="14" s="1"/>
  <c r="E56" i="14"/>
  <c r="D56" i="14"/>
  <c r="I55" i="14"/>
  <c r="F55" i="14"/>
  <c r="I54" i="14"/>
  <c r="F54" i="14"/>
  <c r="I53" i="14"/>
  <c r="F53" i="14"/>
  <c r="I52" i="14"/>
  <c r="F52" i="14"/>
  <c r="I51" i="14"/>
  <c r="F51" i="14"/>
  <c r="I50" i="14"/>
  <c r="F50" i="14"/>
  <c r="I49" i="14"/>
  <c r="F49" i="14"/>
  <c r="I48" i="14"/>
  <c r="F48" i="14"/>
  <c r="I47" i="14"/>
  <c r="I56" i="14" s="1"/>
  <c r="F47" i="14"/>
  <c r="F56" i="14" s="1"/>
  <c r="H46" i="14"/>
  <c r="H57" i="14" s="1"/>
  <c r="G46" i="14"/>
  <c r="E46" i="14"/>
  <c r="D46" i="14"/>
  <c r="D57" i="14" s="1"/>
  <c r="I45" i="14"/>
  <c r="F45" i="14"/>
  <c r="I44" i="14"/>
  <c r="F44" i="14"/>
  <c r="I43" i="14"/>
  <c r="F43" i="14"/>
  <c r="F46" i="14" s="1"/>
  <c r="I42" i="14"/>
  <c r="I46" i="14" s="1"/>
  <c r="F42" i="14"/>
  <c r="H41" i="14"/>
  <c r="G41" i="14"/>
  <c r="E41" i="14"/>
  <c r="E57" i="14" s="1"/>
  <c r="D41" i="14"/>
  <c r="I40" i="14"/>
  <c r="F40" i="14"/>
  <c r="I39" i="14"/>
  <c r="F39" i="14"/>
  <c r="I38" i="14"/>
  <c r="F38" i="14"/>
  <c r="I37" i="14"/>
  <c r="F37" i="14"/>
  <c r="I36" i="14"/>
  <c r="F36" i="14"/>
  <c r="I35" i="14"/>
  <c r="I41" i="14" s="1"/>
  <c r="F35" i="14"/>
  <c r="I34" i="14"/>
  <c r="F34" i="14"/>
  <c r="F41" i="14" s="1"/>
  <c r="H32" i="14"/>
  <c r="G32" i="14"/>
  <c r="E32" i="14"/>
  <c r="D32" i="14"/>
  <c r="I31" i="14"/>
  <c r="F31" i="14"/>
  <c r="I30" i="14"/>
  <c r="F30" i="14"/>
  <c r="I29" i="14"/>
  <c r="F29" i="14"/>
  <c r="I28" i="14"/>
  <c r="F28" i="14"/>
  <c r="I27" i="14"/>
  <c r="F27" i="14"/>
  <c r="I26" i="14"/>
  <c r="F26" i="14"/>
  <c r="I25" i="14"/>
  <c r="F25" i="14"/>
  <c r="I24" i="14"/>
  <c r="F24" i="14"/>
  <c r="I23" i="14"/>
  <c r="F23" i="14"/>
  <c r="I22" i="14"/>
  <c r="F22" i="14"/>
  <c r="I21" i="14"/>
  <c r="F21" i="14"/>
  <c r="I20" i="14"/>
  <c r="F20" i="14"/>
  <c r="I19" i="14"/>
  <c r="F19" i="14"/>
  <c r="I18" i="14"/>
  <c r="I32" i="14" s="1"/>
  <c r="F18" i="14"/>
  <c r="F32" i="14" s="1"/>
  <c r="I17" i="14"/>
  <c r="F17" i="14"/>
  <c r="G16" i="14"/>
  <c r="I15" i="14"/>
  <c r="H15" i="14"/>
  <c r="G15" i="14"/>
  <c r="E15" i="14"/>
  <c r="D15" i="14"/>
  <c r="F15" i="14" s="1"/>
  <c r="I14" i="14"/>
  <c r="F14" i="14"/>
  <c r="I13" i="14"/>
  <c r="H13" i="14"/>
  <c r="H16" i="14" s="1"/>
  <c r="H33" i="14" s="1"/>
  <c r="G13" i="14"/>
  <c r="E13" i="14"/>
  <c r="E16" i="14" s="1"/>
  <c r="I12" i="14"/>
  <c r="G12" i="14"/>
  <c r="F12" i="14"/>
  <c r="D12" i="14"/>
  <c r="D13" i="14" s="1"/>
  <c r="F13" i="14" s="1"/>
  <c r="I11" i="14"/>
  <c r="I16" i="14" s="1"/>
  <c r="F11" i="14"/>
  <c r="I10" i="14"/>
  <c r="H10" i="14"/>
  <c r="F10" i="14"/>
  <c r="E10" i="14"/>
  <c r="H8" i="14"/>
  <c r="G8" i="14"/>
  <c r="E8" i="14"/>
  <c r="D8" i="14"/>
  <c r="F8" i="14" s="1"/>
  <c r="H7" i="14"/>
  <c r="H9" i="14" s="1"/>
  <c r="E7" i="14"/>
  <c r="E9" i="14" s="1"/>
  <c r="I129" i="13"/>
  <c r="F129" i="13"/>
  <c r="I128" i="13"/>
  <c r="F128" i="13"/>
  <c r="I127" i="13"/>
  <c r="F127" i="13"/>
  <c r="I125" i="13"/>
  <c r="F125" i="13"/>
  <c r="I124" i="13"/>
  <c r="F124" i="13"/>
  <c r="I123" i="13"/>
  <c r="F123" i="13"/>
  <c r="H122" i="13"/>
  <c r="I122" i="13" s="1"/>
  <c r="G122" i="13"/>
  <c r="F122" i="13"/>
  <c r="E122" i="13"/>
  <c r="D122" i="13"/>
  <c r="G121" i="13"/>
  <c r="G126" i="13" s="1"/>
  <c r="G130" i="13" s="1"/>
  <c r="G134" i="13" s="1"/>
  <c r="F121" i="13"/>
  <c r="I120" i="13"/>
  <c r="F120" i="13"/>
  <c r="I119" i="13"/>
  <c r="F119" i="13"/>
  <c r="I118" i="13"/>
  <c r="F118" i="13"/>
  <c r="H117" i="13"/>
  <c r="H126" i="13" s="1"/>
  <c r="H130" i="13" s="1"/>
  <c r="H134" i="13" s="1"/>
  <c r="G117" i="13"/>
  <c r="E117" i="13"/>
  <c r="E126" i="13" s="1"/>
  <c r="E130" i="13" s="1"/>
  <c r="E134" i="13" s="1"/>
  <c r="D117" i="13"/>
  <c r="D126" i="13" s="1"/>
  <c r="D130" i="13" s="1"/>
  <c r="D134" i="13" s="1"/>
  <c r="I116" i="13"/>
  <c r="F116" i="13"/>
  <c r="I115" i="13"/>
  <c r="F115" i="13"/>
  <c r="I114" i="13"/>
  <c r="F114" i="13"/>
  <c r="F117" i="13" s="1"/>
  <c r="F126" i="13" s="1"/>
  <c r="I113" i="13"/>
  <c r="I117" i="13" s="1"/>
  <c r="F113" i="13"/>
  <c r="I112" i="13"/>
  <c r="F112" i="13"/>
  <c r="I111" i="13"/>
  <c r="F111" i="13"/>
  <c r="H107" i="13"/>
  <c r="G107" i="13"/>
  <c r="E107" i="13"/>
  <c r="D107" i="13"/>
  <c r="I106" i="13"/>
  <c r="F106" i="13"/>
  <c r="I105" i="13"/>
  <c r="I107" i="13" s="1"/>
  <c r="F105" i="13"/>
  <c r="I102" i="13"/>
  <c r="F102" i="13"/>
  <c r="F107" i="13" s="1"/>
  <c r="I101" i="13"/>
  <c r="F101" i="13"/>
  <c r="H100" i="13"/>
  <c r="H108" i="13" s="1"/>
  <c r="G100" i="13"/>
  <c r="G108" i="13" s="1"/>
  <c r="E100" i="13"/>
  <c r="D100" i="13"/>
  <c r="I99" i="13"/>
  <c r="F99" i="13"/>
  <c r="I98" i="13"/>
  <c r="F98" i="13"/>
  <c r="I97" i="13"/>
  <c r="F97" i="13"/>
  <c r="I96" i="13"/>
  <c r="F96" i="13"/>
  <c r="I95" i="13"/>
  <c r="I100" i="13" s="1"/>
  <c r="F95" i="13"/>
  <c r="F100" i="13" s="1"/>
  <c r="H94" i="13"/>
  <c r="H109" i="13" s="1"/>
  <c r="G94" i="13"/>
  <c r="E94" i="13"/>
  <c r="D94" i="13"/>
  <c r="D109" i="13" s="1"/>
  <c r="I93" i="13"/>
  <c r="F93" i="13"/>
  <c r="I92" i="13"/>
  <c r="F92" i="13"/>
  <c r="I91" i="13"/>
  <c r="F91" i="13"/>
  <c r="I90" i="13"/>
  <c r="F90" i="13"/>
  <c r="I89" i="13"/>
  <c r="F89" i="13"/>
  <c r="I88" i="13"/>
  <c r="F88" i="13"/>
  <c r="I87" i="13"/>
  <c r="F87" i="13"/>
  <c r="I86" i="13"/>
  <c r="F86" i="13"/>
  <c r="I85" i="13"/>
  <c r="F85" i="13"/>
  <c r="I84" i="13"/>
  <c r="F84" i="13"/>
  <c r="I83" i="13"/>
  <c r="I94" i="13" s="1"/>
  <c r="F83" i="13"/>
  <c r="F94" i="13" s="1"/>
  <c r="H82" i="13"/>
  <c r="G82" i="13"/>
  <c r="E82" i="13"/>
  <c r="D82" i="13"/>
  <c r="I81" i="13"/>
  <c r="F81" i="13"/>
  <c r="I80" i="13"/>
  <c r="F80" i="13"/>
  <c r="I79" i="13"/>
  <c r="F79" i="13"/>
  <c r="I78" i="13"/>
  <c r="F78" i="13"/>
  <c r="I77" i="13"/>
  <c r="F77" i="13"/>
  <c r="I76" i="13"/>
  <c r="I82" i="13" s="1"/>
  <c r="F76" i="13"/>
  <c r="F82" i="13" s="1"/>
  <c r="I75" i="13"/>
  <c r="F75" i="13"/>
  <c r="H74" i="13"/>
  <c r="G74" i="13"/>
  <c r="E74" i="13"/>
  <c r="D74" i="13"/>
  <c r="I73" i="13"/>
  <c r="I74" i="13" s="1"/>
  <c r="F73" i="13"/>
  <c r="F74" i="13" s="1"/>
  <c r="I72" i="13"/>
  <c r="F72" i="13"/>
  <c r="I71" i="13"/>
  <c r="F71" i="13"/>
  <c r="I70" i="13"/>
  <c r="F70" i="13"/>
  <c r="I69" i="13"/>
  <c r="F69" i="13"/>
  <c r="I68" i="13"/>
  <c r="F68" i="13"/>
  <c r="H63" i="13"/>
  <c r="G63" i="13"/>
  <c r="E63" i="13"/>
  <c r="D63" i="13"/>
  <c r="I62" i="13"/>
  <c r="F62" i="13"/>
  <c r="I61" i="13"/>
  <c r="I63" i="13" s="1"/>
  <c r="F61" i="13"/>
  <c r="F63" i="13" s="1"/>
  <c r="I60" i="13"/>
  <c r="F60" i="13"/>
  <c r="I59" i="13"/>
  <c r="F59" i="13"/>
  <c r="H56" i="13"/>
  <c r="H58" i="13" s="1"/>
  <c r="H64" i="13" s="1"/>
  <c r="G56" i="13"/>
  <c r="G58" i="13" s="1"/>
  <c r="G64" i="13" s="1"/>
  <c r="E56" i="13"/>
  <c r="E58" i="13" s="1"/>
  <c r="E64" i="13" s="1"/>
  <c r="D56" i="13"/>
  <c r="D58" i="13" s="1"/>
  <c r="D64" i="13" s="1"/>
  <c r="I55" i="13"/>
  <c r="F55" i="13"/>
  <c r="I54" i="13"/>
  <c r="F54" i="13"/>
  <c r="I53" i="13"/>
  <c r="F53" i="13"/>
  <c r="I52" i="13"/>
  <c r="F52" i="13"/>
  <c r="I51" i="13"/>
  <c r="F51" i="13"/>
  <c r="I50" i="13"/>
  <c r="F50" i="13"/>
  <c r="I49" i="13"/>
  <c r="F49" i="13"/>
  <c r="I48" i="13"/>
  <c r="I56" i="13" s="1"/>
  <c r="F48" i="13"/>
  <c r="I47" i="13"/>
  <c r="F47" i="13"/>
  <c r="F56" i="13" s="1"/>
  <c r="H46" i="13"/>
  <c r="G46" i="13"/>
  <c r="E46" i="13"/>
  <c r="D46" i="13"/>
  <c r="I45" i="13"/>
  <c r="F45" i="13"/>
  <c r="I44" i="13"/>
  <c r="F44" i="13"/>
  <c r="I43" i="13"/>
  <c r="F43" i="13"/>
  <c r="F46" i="13" s="1"/>
  <c r="I42" i="13"/>
  <c r="I46" i="13" s="1"/>
  <c r="F42" i="13"/>
  <c r="H41" i="13"/>
  <c r="H57" i="13" s="1"/>
  <c r="G41" i="13"/>
  <c r="G57" i="13" s="1"/>
  <c r="E41" i="13"/>
  <c r="D41" i="13"/>
  <c r="D57" i="13" s="1"/>
  <c r="I40" i="13"/>
  <c r="F40" i="13"/>
  <c r="I39" i="13"/>
  <c r="F39" i="13"/>
  <c r="I38" i="13"/>
  <c r="F38" i="13"/>
  <c r="I37" i="13"/>
  <c r="F37" i="13"/>
  <c r="I36" i="13"/>
  <c r="F36" i="13"/>
  <c r="I35" i="13"/>
  <c r="F35" i="13"/>
  <c r="I34" i="13"/>
  <c r="I41" i="13" s="1"/>
  <c r="F34" i="13"/>
  <c r="F41" i="13" s="1"/>
  <c r="H32" i="13"/>
  <c r="G32" i="13"/>
  <c r="E32" i="13"/>
  <c r="E33" i="13" s="1"/>
  <c r="E109" i="13" s="1"/>
  <c r="D32" i="13"/>
  <c r="I31" i="13"/>
  <c r="F31" i="13"/>
  <c r="I30" i="13"/>
  <c r="F30" i="13"/>
  <c r="I29" i="13"/>
  <c r="F29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F32" i="13" s="1"/>
  <c r="I18" i="13"/>
  <c r="I32" i="13" s="1"/>
  <c r="F18" i="13"/>
  <c r="I17" i="13"/>
  <c r="F17" i="13"/>
  <c r="H16" i="13"/>
  <c r="G16" i="13"/>
  <c r="E16" i="13"/>
  <c r="D16" i="13"/>
  <c r="I15" i="13"/>
  <c r="F15" i="13"/>
  <c r="I14" i="13"/>
  <c r="F14" i="13"/>
  <c r="I13" i="13"/>
  <c r="F13" i="13"/>
  <c r="I12" i="13"/>
  <c r="I16" i="13" s="1"/>
  <c r="F12" i="13"/>
  <c r="I11" i="13"/>
  <c r="F11" i="13"/>
  <c r="F16" i="13" s="1"/>
  <c r="I10" i="13"/>
  <c r="F10" i="13"/>
  <c r="H9" i="13"/>
  <c r="H33" i="13" s="1"/>
  <c r="G9" i="13"/>
  <c r="G33" i="13" s="1"/>
  <c r="E9" i="13"/>
  <c r="D9" i="13"/>
  <c r="D33" i="13" s="1"/>
  <c r="I8" i="13"/>
  <c r="F8" i="13"/>
  <c r="I7" i="13"/>
  <c r="I9" i="13" s="1"/>
  <c r="F7" i="13"/>
  <c r="F9" i="13" s="1"/>
  <c r="I129" i="12"/>
  <c r="F129" i="12"/>
  <c r="I128" i="12"/>
  <c r="F128" i="12"/>
  <c r="I127" i="12"/>
  <c r="F127" i="12"/>
  <c r="I125" i="12"/>
  <c r="F125" i="12"/>
  <c r="I124" i="12"/>
  <c r="F124" i="12"/>
  <c r="I123" i="12"/>
  <c r="F123" i="12"/>
  <c r="H122" i="12"/>
  <c r="E122" i="12"/>
  <c r="E126" i="12" s="1"/>
  <c r="E130" i="12" s="1"/>
  <c r="E134" i="12" s="1"/>
  <c r="D122" i="12"/>
  <c r="G122" i="12" s="1"/>
  <c r="G121" i="12" s="1"/>
  <c r="G126" i="12" s="1"/>
  <c r="G130" i="12" s="1"/>
  <c r="G134" i="12" s="1"/>
  <c r="F121" i="12"/>
  <c r="I120" i="12"/>
  <c r="F120" i="12"/>
  <c r="I119" i="12"/>
  <c r="F119" i="12"/>
  <c r="I118" i="12"/>
  <c r="F118" i="12"/>
  <c r="H117" i="12"/>
  <c r="H126" i="12" s="1"/>
  <c r="H130" i="12" s="1"/>
  <c r="H134" i="12" s="1"/>
  <c r="G117" i="12"/>
  <c r="E117" i="12"/>
  <c r="D117" i="12"/>
  <c r="I116" i="12"/>
  <c r="F116" i="12"/>
  <c r="I115" i="12"/>
  <c r="F115" i="12"/>
  <c r="I114" i="12"/>
  <c r="F114" i="12"/>
  <c r="F117" i="12" s="1"/>
  <c r="I113" i="12"/>
  <c r="I117" i="12" s="1"/>
  <c r="F113" i="12"/>
  <c r="I112" i="12"/>
  <c r="F112" i="12"/>
  <c r="I111" i="12"/>
  <c r="F111" i="12"/>
  <c r="H107" i="12"/>
  <c r="G107" i="12"/>
  <c r="E107" i="12"/>
  <c r="E110" i="12" s="1"/>
  <c r="D107" i="12"/>
  <c r="D108" i="12" s="1"/>
  <c r="I106" i="12"/>
  <c r="F106" i="12"/>
  <c r="I105" i="12"/>
  <c r="F105" i="12"/>
  <c r="I102" i="12"/>
  <c r="I107" i="12" s="1"/>
  <c r="F102" i="12"/>
  <c r="F107" i="12" s="1"/>
  <c r="I101" i="12"/>
  <c r="F101" i="12"/>
  <c r="H100" i="12"/>
  <c r="G100" i="12"/>
  <c r="E100" i="12"/>
  <c r="E108" i="12" s="1"/>
  <c r="D100" i="12"/>
  <c r="I99" i="12"/>
  <c r="F99" i="12"/>
  <c r="I98" i="12"/>
  <c r="F98" i="12"/>
  <c r="I97" i="12"/>
  <c r="F97" i="12"/>
  <c r="I96" i="12"/>
  <c r="I100" i="12" s="1"/>
  <c r="F96" i="12"/>
  <c r="I95" i="12"/>
  <c r="F95" i="12"/>
  <c r="F100" i="12" s="1"/>
  <c r="H94" i="12"/>
  <c r="G94" i="12"/>
  <c r="E94" i="12"/>
  <c r="D94" i="12"/>
  <c r="D109" i="12" s="1"/>
  <c r="I93" i="12"/>
  <c r="F93" i="12"/>
  <c r="I92" i="12"/>
  <c r="F92" i="12"/>
  <c r="I91" i="12"/>
  <c r="F91" i="12"/>
  <c r="I90" i="12"/>
  <c r="F90" i="12"/>
  <c r="I89" i="12"/>
  <c r="F89" i="12"/>
  <c r="I88" i="12"/>
  <c r="F88" i="12"/>
  <c r="I87" i="12"/>
  <c r="F87" i="12"/>
  <c r="I86" i="12"/>
  <c r="F86" i="12"/>
  <c r="I85" i="12"/>
  <c r="F85" i="12"/>
  <c r="I84" i="12"/>
  <c r="I94" i="12" s="1"/>
  <c r="F84" i="12"/>
  <c r="I83" i="12"/>
  <c r="F83" i="12"/>
  <c r="F94" i="12" s="1"/>
  <c r="H82" i="12"/>
  <c r="G82" i="12"/>
  <c r="E82" i="12"/>
  <c r="D82" i="12"/>
  <c r="I81" i="12"/>
  <c r="F81" i="12"/>
  <c r="I80" i="12"/>
  <c r="F80" i="12"/>
  <c r="I79" i="12"/>
  <c r="F79" i="12"/>
  <c r="I78" i="12"/>
  <c r="F78" i="12"/>
  <c r="I77" i="12"/>
  <c r="F77" i="12"/>
  <c r="I76" i="12"/>
  <c r="I82" i="12" s="1"/>
  <c r="F76" i="12"/>
  <c r="F82" i="12" s="1"/>
  <c r="I75" i="12"/>
  <c r="F75" i="12"/>
  <c r="H74" i="12"/>
  <c r="G74" i="12"/>
  <c r="E74" i="12"/>
  <c r="D74" i="12"/>
  <c r="I73" i="12"/>
  <c r="F73" i="12"/>
  <c r="F74" i="12" s="1"/>
  <c r="I72" i="12"/>
  <c r="I74" i="12" s="1"/>
  <c r="F72" i="12"/>
  <c r="I71" i="12"/>
  <c r="F71" i="12"/>
  <c r="I70" i="12"/>
  <c r="F70" i="12"/>
  <c r="I69" i="12"/>
  <c r="F69" i="12"/>
  <c r="I68" i="12"/>
  <c r="F68" i="12"/>
  <c r="H63" i="12"/>
  <c r="G63" i="12"/>
  <c r="E63" i="12"/>
  <c r="D63" i="12"/>
  <c r="I62" i="12"/>
  <c r="F62" i="12"/>
  <c r="I61" i="12"/>
  <c r="I63" i="12" s="1"/>
  <c r="F61" i="12"/>
  <c r="I60" i="12"/>
  <c r="F60" i="12"/>
  <c r="F63" i="12" s="1"/>
  <c r="I59" i="12"/>
  <c r="F59" i="12"/>
  <c r="D58" i="12"/>
  <c r="D64" i="12" s="1"/>
  <c r="E57" i="12"/>
  <c r="D57" i="12"/>
  <c r="H56" i="12"/>
  <c r="H57" i="12" s="1"/>
  <c r="G56" i="12"/>
  <c r="E56" i="12"/>
  <c r="D56" i="12"/>
  <c r="I55" i="12"/>
  <c r="F55" i="12"/>
  <c r="I54" i="12"/>
  <c r="F54" i="12"/>
  <c r="I53" i="12"/>
  <c r="F53" i="12"/>
  <c r="I52" i="12"/>
  <c r="F52" i="12"/>
  <c r="I51" i="12"/>
  <c r="F51" i="12"/>
  <c r="I50" i="12"/>
  <c r="F50" i="12"/>
  <c r="I49" i="12"/>
  <c r="F49" i="12"/>
  <c r="I48" i="12"/>
  <c r="F48" i="12"/>
  <c r="I47" i="12"/>
  <c r="I56" i="12" s="1"/>
  <c r="F47" i="12"/>
  <c r="F56" i="12" s="1"/>
  <c r="H46" i="12"/>
  <c r="G46" i="12"/>
  <c r="E46" i="12"/>
  <c r="D46" i="12"/>
  <c r="I45" i="12"/>
  <c r="F45" i="12"/>
  <c r="I44" i="12"/>
  <c r="F44" i="12"/>
  <c r="I43" i="12"/>
  <c r="F43" i="12"/>
  <c r="F46" i="12" s="1"/>
  <c r="I42" i="12"/>
  <c r="I46" i="12" s="1"/>
  <c r="F42" i="12"/>
  <c r="H41" i="12"/>
  <c r="G41" i="12"/>
  <c r="G57" i="12" s="1"/>
  <c r="G110" i="12" s="1"/>
  <c r="E41" i="12"/>
  <c r="D41" i="12"/>
  <c r="I40" i="12"/>
  <c r="F40" i="12"/>
  <c r="I39" i="12"/>
  <c r="F39" i="12"/>
  <c r="I38" i="12"/>
  <c r="F38" i="12"/>
  <c r="I37" i="12"/>
  <c r="F37" i="12"/>
  <c r="I36" i="12"/>
  <c r="F36" i="12"/>
  <c r="I35" i="12"/>
  <c r="F35" i="12"/>
  <c r="I34" i="12"/>
  <c r="F34" i="12"/>
  <c r="F41" i="12" s="1"/>
  <c r="D33" i="12"/>
  <c r="H32" i="12"/>
  <c r="G32" i="12"/>
  <c r="E32" i="12"/>
  <c r="D32" i="12"/>
  <c r="I31" i="12"/>
  <c r="F31" i="12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F32" i="12" s="1"/>
  <c r="I18" i="12"/>
  <c r="I32" i="12" s="1"/>
  <c r="F18" i="12"/>
  <c r="I17" i="12"/>
  <c r="F17" i="12"/>
  <c r="H16" i="12"/>
  <c r="G16" i="12"/>
  <c r="F16" i="12"/>
  <c r="E16" i="12"/>
  <c r="E58" i="12" s="1"/>
  <c r="E64" i="12" s="1"/>
  <c r="D16" i="12"/>
  <c r="I15" i="12"/>
  <c r="F15" i="12"/>
  <c r="I14" i="12"/>
  <c r="F14" i="12"/>
  <c r="I13" i="12"/>
  <c r="F13" i="12"/>
  <c r="I12" i="12"/>
  <c r="F12" i="12"/>
  <c r="I11" i="12"/>
  <c r="F11" i="12"/>
  <c r="F10" i="12"/>
  <c r="H9" i="12"/>
  <c r="G9" i="12"/>
  <c r="E9" i="12"/>
  <c r="D9" i="12"/>
  <c r="I8" i="12"/>
  <c r="F8" i="12"/>
  <c r="F9" i="12" s="1"/>
  <c r="I7" i="12"/>
  <c r="F7" i="12"/>
  <c r="I129" i="11"/>
  <c r="F129" i="11"/>
  <c r="I128" i="11"/>
  <c r="F128" i="11"/>
  <c r="I127" i="11"/>
  <c r="F127" i="11"/>
  <c r="I125" i="11"/>
  <c r="F125" i="11"/>
  <c r="I124" i="11"/>
  <c r="F124" i="11"/>
  <c r="I123" i="11"/>
  <c r="F123" i="11"/>
  <c r="H122" i="11"/>
  <c r="H126" i="11" s="1"/>
  <c r="H130" i="11" s="1"/>
  <c r="H134" i="11" s="1"/>
  <c r="G122" i="11"/>
  <c r="E122" i="11"/>
  <c r="D122" i="11"/>
  <c r="F122" i="11" s="1"/>
  <c r="I121" i="11"/>
  <c r="F121" i="11"/>
  <c r="I120" i="11"/>
  <c r="F120" i="11"/>
  <c r="I119" i="11"/>
  <c r="F119" i="11"/>
  <c r="I118" i="11"/>
  <c r="F118" i="11"/>
  <c r="H117" i="11"/>
  <c r="G117" i="11"/>
  <c r="G126" i="11" s="1"/>
  <c r="G130" i="11" s="1"/>
  <c r="G134" i="11" s="1"/>
  <c r="E117" i="11"/>
  <c r="E126" i="11" s="1"/>
  <c r="E130" i="11" s="1"/>
  <c r="E134" i="11" s="1"/>
  <c r="D117" i="11"/>
  <c r="I116" i="11"/>
  <c r="F116" i="11"/>
  <c r="I115" i="11"/>
  <c r="F115" i="11"/>
  <c r="I114" i="11"/>
  <c r="F114" i="11"/>
  <c r="F117" i="11" s="1"/>
  <c r="F126" i="11" s="1"/>
  <c r="I113" i="11"/>
  <c r="I117" i="11" s="1"/>
  <c r="F113" i="11"/>
  <c r="I112" i="11"/>
  <c r="F112" i="11"/>
  <c r="I111" i="11"/>
  <c r="F111" i="11"/>
  <c r="H107" i="11"/>
  <c r="G107" i="11"/>
  <c r="G110" i="11" s="1"/>
  <c r="E107" i="11"/>
  <c r="D107" i="11"/>
  <c r="I106" i="11"/>
  <c r="F106" i="11"/>
  <c r="I105" i="11"/>
  <c r="F105" i="11"/>
  <c r="I102" i="11"/>
  <c r="I107" i="11" s="1"/>
  <c r="F102" i="11"/>
  <c r="F107" i="11" s="1"/>
  <c r="I101" i="11"/>
  <c r="F101" i="11"/>
  <c r="H100" i="11"/>
  <c r="G100" i="11"/>
  <c r="E100" i="11"/>
  <c r="D100" i="11"/>
  <c r="D108" i="11" s="1"/>
  <c r="I99" i="11"/>
  <c r="F99" i="11"/>
  <c r="I98" i="11"/>
  <c r="F98" i="11"/>
  <c r="I97" i="11"/>
  <c r="F97" i="11"/>
  <c r="I96" i="11"/>
  <c r="F96" i="11"/>
  <c r="I95" i="11"/>
  <c r="I100" i="11" s="1"/>
  <c r="F95" i="11"/>
  <c r="F100" i="11" s="1"/>
  <c r="H94" i="11"/>
  <c r="G94" i="11"/>
  <c r="E94" i="11"/>
  <c r="D94" i="11"/>
  <c r="D109" i="11" s="1"/>
  <c r="I93" i="11"/>
  <c r="F93" i="11"/>
  <c r="I92" i="11"/>
  <c r="F92" i="11"/>
  <c r="I91" i="11"/>
  <c r="F91" i="11"/>
  <c r="I90" i="11"/>
  <c r="F90" i="11"/>
  <c r="I89" i="11"/>
  <c r="F89" i="11"/>
  <c r="I88" i="11"/>
  <c r="F88" i="11"/>
  <c r="I87" i="11"/>
  <c r="F87" i="11"/>
  <c r="I86" i="11"/>
  <c r="F86" i="11"/>
  <c r="I85" i="11"/>
  <c r="F85" i="11"/>
  <c r="I84" i="11"/>
  <c r="F84" i="11"/>
  <c r="I83" i="11"/>
  <c r="I94" i="11" s="1"/>
  <c r="F83" i="11"/>
  <c r="F94" i="11" s="1"/>
  <c r="H82" i="11"/>
  <c r="G82" i="11"/>
  <c r="E82" i="11"/>
  <c r="D82" i="11"/>
  <c r="I81" i="11"/>
  <c r="F81" i="11"/>
  <c r="I80" i="11"/>
  <c r="F80" i="11"/>
  <c r="I79" i="11"/>
  <c r="F79" i="11"/>
  <c r="I78" i="11"/>
  <c r="F78" i="11"/>
  <c r="I77" i="11"/>
  <c r="F77" i="11"/>
  <c r="I76" i="11"/>
  <c r="I82" i="11" s="1"/>
  <c r="F76" i="11"/>
  <c r="F82" i="11" s="1"/>
  <c r="I75" i="11"/>
  <c r="F75" i="11"/>
  <c r="H74" i="11"/>
  <c r="G74" i="11"/>
  <c r="E74" i="11"/>
  <c r="D74" i="11"/>
  <c r="I73" i="11"/>
  <c r="I74" i="11" s="1"/>
  <c r="F73" i="11"/>
  <c r="F74" i="11" s="1"/>
  <c r="I72" i="11"/>
  <c r="F72" i="11"/>
  <c r="I71" i="11"/>
  <c r="F71" i="11"/>
  <c r="I70" i="11"/>
  <c r="F70" i="11"/>
  <c r="I69" i="11"/>
  <c r="F69" i="11"/>
  <c r="I68" i="11"/>
  <c r="F68" i="11"/>
  <c r="H63" i="11"/>
  <c r="G63" i="11"/>
  <c r="E63" i="11"/>
  <c r="D63" i="11"/>
  <c r="I62" i="11"/>
  <c r="F62" i="11"/>
  <c r="I61" i="11"/>
  <c r="I63" i="11" s="1"/>
  <c r="F61" i="11"/>
  <c r="F63" i="11" s="1"/>
  <c r="I60" i="11"/>
  <c r="F60" i="11"/>
  <c r="I59" i="11"/>
  <c r="F59" i="11"/>
  <c r="H56" i="11"/>
  <c r="H58" i="11" s="1"/>
  <c r="H64" i="11" s="1"/>
  <c r="G56" i="11"/>
  <c r="G57" i="11" s="1"/>
  <c r="E56" i="11"/>
  <c r="E58" i="11" s="1"/>
  <c r="E64" i="11" s="1"/>
  <c r="D56" i="11"/>
  <c r="D58" i="11" s="1"/>
  <c r="D64" i="11" s="1"/>
  <c r="I55" i="11"/>
  <c r="F55" i="11"/>
  <c r="I54" i="11"/>
  <c r="F54" i="11"/>
  <c r="I53" i="11"/>
  <c r="F53" i="11"/>
  <c r="I52" i="11"/>
  <c r="F52" i="11"/>
  <c r="I51" i="11"/>
  <c r="F51" i="11"/>
  <c r="I50" i="11"/>
  <c r="F50" i="11"/>
  <c r="I49" i="11"/>
  <c r="F49" i="11"/>
  <c r="I48" i="11"/>
  <c r="F48" i="11"/>
  <c r="I47" i="11"/>
  <c r="I56" i="11" s="1"/>
  <c r="F47" i="11"/>
  <c r="F56" i="11" s="1"/>
  <c r="H46" i="11"/>
  <c r="G46" i="11"/>
  <c r="E46" i="11"/>
  <c r="D46" i="11"/>
  <c r="I45" i="11"/>
  <c r="F45" i="11"/>
  <c r="I44" i="11"/>
  <c r="F44" i="11"/>
  <c r="I43" i="11"/>
  <c r="F43" i="11"/>
  <c r="F46" i="11" s="1"/>
  <c r="I42" i="11"/>
  <c r="I46" i="11" s="1"/>
  <c r="F42" i="11"/>
  <c r="H41" i="11"/>
  <c r="H57" i="11" s="1"/>
  <c r="G41" i="11"/>
  <c r="E41" i="11"/>
  <c r="D41" i="11"/>
  <c r="D57" i="11" s="1"/>
  <c r="I40" i="11"/>
  <c r="F40" i="11"/>
  <c r="I39" i="11"/>
  <c r="F39" i="11"/>
  <c r="I38" i="11"/>
  <c r="F38" i="11"/>
  <c r="I37" i="11"/>
  <c r="F37" i="11"/>
  <c r="I36" i="11"/>
  <c r="F36" i="11"/>
  <c r="I35" i="11"/>
  <c r="F35" i="11"/>
  <c r="I34" i="11"/>
  <c r="I41" i="11" s="1"/>
  <c r="F34" i="11"/>
  <c r="F41" i="11" s="1"/>
  <c r="H32" i="11"/>
  <c r="G32" i="11"/>
  <c r="G33" i="11" s="1"/>
  <c r="E32" i="11"/>
  <c r="E33" i="11" s="1"/>
  <c r="D32" i="11"/>
  <c r="I31" i="11"/>
  <c r="F31" i="11"/>
  <c r="I30" i="11"/>
  <c r="F30" i="11"/>
  <c r="I29" i="11"/>
  <c r="F29" i="11"/>
  <c r="I28" i="11"/>
  <c r="F28" i="11"/>
  <c r="I27" i="11"/>
  <c r="F27" i="11"/>
  <c r="I26" i="11"/>
  <c r="F26" i="11"/>
  <c r="I25" i="11"/>
  <c r="F25" i="11"/>
  <c r="I24" i="11"/>
  <c r="F24" i="11"/>
  <c r="I23" i="11"/>
  <c r="F23" i="11"/>
  <c r="I22" i="11"/>
  <c r="F22" i="11"/>
  <c r="I21" i="11"/>
  <c r="F21" i="11"/>
  <c r="I20" i="11"/>
  <c r="F20" i="11"/>
  <c r="I19" i="11"/>
  <c r="F19" i="11"/>
  <c r="F32" i="11" s="1"/>
  <c r="I18" i="11"/>
  <c r="I32" i="11" s="1"/>
  <c r="F18" i="11"/>
  <c r="I17" i="11"/>
  <c r="F17" i="11"/>
  <c r="H16" i="11"/>
  <c r="G16" i="11"/>
  <c r="E16" i="11"/>
  <c r="D16" i="11"/>
  <c r="I15" i="11"/>
  <c r="F15" i="11"/>
  <c r="I14" i="11"/>
  <c r="F14" i="11"/>
  <c r="I13" i="11"/>
  <c r="F13" i="11"/>
  <c r="I12" i="11"/>
  <c r="F12" i="11"/>
  <c r="I11" i="11"/>
  <c r="I16" i="11" s="1"/>
  <c r="F11" i="11"/>
  <c r="F16" i="11" s="1"/>
  <c r="I10" i="11"/>
  <c r="F10" i="11"/>
  <c r="H9" i="11"/>
  <c r="H33" i="11" s="1"/>
  <c r="G9" i="11"/>
  <c r="E9" i="11"/>
  <c r="D9" i="11"/>
  <c r="D33" i="11" s="1"/>
  <c r="I8" i="11"/>
  <c r="F8" i="11"/>
  <c r="I7" i="11"/>
  <c r="I9" i="11" s="1"/>
  <c r="F7" i="11"/>
  <c r="F9" i="11" s="1"/>
  <c r="I129" i="10"/>
  <c r="F129" i="10"/>
  <c r="I128" i="10"/>
  <c r="F128" i="10"/>
  <c r="I127" i="10"/>
  <c r="F127" i="10"/>
  <c r="I125" i="10"/>
  <c r="F125" i="10"/>
  <c r="I124" i="10"/>
  <c r="F124" i="10"/>
  <c r="I123" i="10"/>
  <c r="F123" i="10"/>
  <c r="H122" i="10"/>
  <c r="E122" i="10"/>
  <c r="F122" i="10" s="1"/>
  <c r="D122" i="10"/>
  <c r="I121" i="10"/>
  <c r="F121" i="10"/>
  <c r="I120" i="10"/>
  <c r="G120" i="10"/>
  <c r="G122" i="10" s="1"/>
  <c r="I122" i="10" s="1"/>
  <c r="F120" i="10"/>
  <c r="I119" i="10"/>
  <c r="F119" i="10"/>
  <c r="I118" i="10"/>
  <c r="F118" i="10"/>
  <c r="H117" i="10"/>
  <c r="H126" i="10" s="1"/>
  <c r="H130" i="10" s="1"/>
  <c r="H134" i="10" s="1"/>
  <c r="E117" i="10"/>
  <c r="E126" i="10" s="1"/>
  <c r="E130" i="10" s="1"/>
  <c r="E134" i="10" s="1"/>
  <c r="D117" i="10"/>
  <c r="D126" i="10" s="1"/>
  <c r="D130" i="10" s="1"/>
  <c r="D134" i="10" s="1"/>
  <c r="I116" i="10"/>
  <c r="F116" i="10"/>
  <c r="I115" i="10"/>
  <c r="F115" i="10"/>
  <c r="I114" i="10"/>
  <c r="F114" i="10"/>
  <c r="G113" i="10"/>
  <c r="G117" i="10" s="1"/>
  <c r="F113" i="10"/>
  <c r="F117" i="10" s="1"/>
  <c r="F126" i="10" s="1"/>
  <c r="I112" i="10"/>
  <c r="F112" i="10"/>
  <c r="I111" i="10"/>
  <c r="F111" i="10"/>
  <c r="H107" i="10"/>
  <c r="G107" i="10"/>
  <c r="E107" i="10"/>
  <c r="E110" i="10" s="1"/>
  <c r="D107" i="10"/>
  <c r="I106" i="10"/>
  <c r="F106" i="10"/>
  <c r="I105" i="10"/>
  <c r="I107" i="10" s="1"/>
  <c r="F105" i="10"/>
  <c r="I102" i="10"/>
  <c r="F102" i="10"/>
  <c r="F107" i="10" s="1"/>
  <c r="I101" i="10"/>
  <c r="F101" i="10"/>
  <c r="H100" i="10"/>
  <c r="G100" i="10"/>
  <c r="E100" i="10"/>
  <c r="D100" i="10"/>
  <c r="I99" i="10"/>
  <c r="F99" i="10"/>
  <c r="I98" i="10"/>
  <c r="F98" i="10"/>
  <c r="I97" i="10"/>
  <c r="F97" i="10"/>
  <c r="I96" i="10"/>
  <c r="F96" i="10"/>
  <c r="I95" i="10"/>
  <c r="I100" i="10" s="1"/>
  <c r="F95" i="10"/>
  <c r="F100" i="10" s="1"/>
  <c r="H94" i="10"/>
  <c r="G94" i="10"/>
  <c r="E94" i="10"/>
  <c r="D94" i="10"/>
  <c r="I93" i="10"/>
  <c r="F93" i="10"/>
  <c r="I92" i="10"/>
  <c r="F92" i="10"/>
  <c r="I91" i="10"/>
  <c r="F91" i="10"/>
  <c r="I90" i="10"/>
  <c r="F90" i="10"/>
  <c r="I89" i="10"/>
  <c r="F89" i="10"/>
  <c r="I88" i="10"/>
  <c r="F88" i="10"/>
  <c r="I87" i="10"/>
  <c r="F87" i="10"/>
  <c r="I86" i="10"/>
  <c r="F86" i="10"/>
  <c r="I85" i="10"/>
  <c r="F85" i="10"/>
  <c r="I84" i="10"/>
  <c r="F84" i="10"/>
  <c r="I83" i="10"/>
  <c r="I94" i="10" s="1"/>
  <c r="F83" i="10"/>
  <c r="F94" i="10" s="1"/>
  <c r="H82" i="10"/>
  <c r="G82" i="10"/>
  <c r="E82" i="10"/>
  <c r="D82" i="10"/>
  <c r="I81" i="10"/>
  <c r="F81" i="10"/>
  <c r="I80" i="10"/>
  <c r="F80" i="10"/>
  <c r="I79" i="10"/>
  <c r="F79" i="10"/>
  <c r="I78" i="10"/>
  <c r="F78" i="10"/>
  <c r="I77" i="10"/>
  <c r="F77" i="10"/>
  <c r="I76" i="10"/>
  <c r="I82" i="10" s="1"/>
  <c r="F76" i="10"/>
  <c r="F82" i="10" s="1"/>
  <c r="I75" i="10"/>
  <c r="F75" i="10"/>
  <c r="H74" i="10"/>
  <c r="G74" i="10"/>
  <c r="E74" i="10"/>
  <c r="D74" i="10"/>
  <c r="I73" i="10"/>
  <c r="I74" i="10" s="1"/>
  <c r="F73" i="10"/>
  <c r="F74" i="10" s="1"/>
  <c r="I72" i="10"/>
  <c r="F72" i="10"/>
  <c r="I71" i="10"/>
  <c r="F71" i="10"/>
  <c r="I70" i="10"/>
  <c r="F70" i="10"/>
  <c r="I69" i="10"/>
  <c r="F69" i="10"/>
  <c r="I68" i="10"/>
  <c r="F68" i="10"/>
  <c r="H63" i="10"/>
  <c r="G63" i="10"/>
  <c r="E63" i="10"/>
  <c r="D63" i="10"/>
  <c r="I62" i="10"/>
  <c r="F62" i="10"/>
  <c r="I61" i="10"/>
  <c r="I63" i="10" s="1"/>
  <c r="F61" i="10"/>
  <c r="F63" i="10" s="1"/>
  <c r="I60" i="10"/>
  <c r="F60" i="10"/>
  <c r="I59" i="10"/>
  <c r="F59" i="10"/>
  <c r="H56" i="10"/>
  <c r="H58" i="10" s="1"/>
  <c r="H64" i="10" s="1"/>
  <c r="G56" i="10"/>
  <c r="E56" i="10"/>
  <c r="E57" i="10" s="1"/>
  <c r="D56" i="10"/>
  <c r="D58" i="10" s="1"/>
  <c r="D64" i="10" s="1"/>
  <c r="I55" i="10"/>
  <c r="F55" i="10"/>
  <c r="I54" i="10"/>
  <c r="F54" i="10"/>
  <c r="I53" i="10"/>
  <c r="F53" i="10"/>
  <c r="I52" i="10"/>
  <c r="F52" i="10"/>
  <c r="I51" i="10"/>
  <c r="F51" i="10"/>
  <c r="I50" i="10"/>
  <c r="F50" i="10"/>
  <c r="I49" i="10"/>
  <c r="F49" i="10"/>
  <c r="I48" i="10"/>
  <c r="I56" i="10" s="1"/>
  <c r="F48" i="10"/>
  <c r="I47" i="10"/>
  <c r="F47" i="10"/>
  <c r="F56" i="10" s="1"/>
  <c r="H46" i="10"/>
  <c r="G46" i="10"/>
  <c r="E46" i="10"/>
  <c r="D46" i="10"/>
  <c r="I45" i="10"/>
  <c r="F45" i="10"/>
  <c r="I44" i="10"/>
  <c r="F44" i="10"/>
  <c r="I43" i="10"/>
  <c r="F43" i="10"/>
  <c r="F46" i="10" s="1"/>
  <c r="I42" i="10"/>
  <c r="I46" i="10" s="1"/>
  <c r="F42" i="10"/>
  <c r="H41" i="10"/>
  <c r="H57" i="10" s="1"/>
  <c r="G41" i="10"/>
  <c r="G57" i="10" s="1"/>
  <c r="E41" i="10"/>
  <c r="D41" i="10"/>
  <c r="D57" i="10" s="1"/>
  <c r="I40" i="10"/>
  <c r="F40" i="10"/>
  <c r="I39" i="10"/>
  <c r="F39" i="10"/>
  <c r="I38" i="10"/>
  <c r="F38" i="10"/>
  <c r="I37" i="10"/>
  <c r="F37" i="10"/>
  <c r="I36" i="10"/>
  <c r="F36" i="10"/>
  <c r="I35" i="10"/>
  <c r="F35" i="10"/>
  <c r="I34" i="10"/>
  <c r="I41" i="10" s="1"/>
  <c r="F34" i="10"/>
  <c r="F41" i="10" s="1"/>
  <c r="H32" i="10"/>
  <c r="G32" i="10"/>
  <c r="E32" i="10"/>
  <c r="E33" i="10" s="1"/>
  <c r="E109" i="10" s="1"/>
  <c r="D32" i="10"/>
  <c r="I31" i="10"/>
  <c r="F31" i="10"/>
  <c r="I30" i="10"/>
  <c r="F30" i="10"/>
  <c r="I29" i="10"/>
  <c r="F29" i="10"/>
  <c r="I28" i="10"/>
  <c r="F28" i="10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I20" i="10"/>
  <c r="F20" i="10"/>
  <c r="I19" i="10"/>
  <c r="F19" i="10"/>
  <c r="F32" i="10" s="1"/>
  <c r="F33" i="10" s="1"/>
  <c r="I18" i="10"/>
  <c r="I32" i="10" s="1"/>
  <c r="F18" i="10"/>
  <c r="I17" i="10"/>
  <c r="F17" i="10"/>
  <c r="H16" i="10"/>
  <c r="E16" i="10"/>
  <c r="D16" i="10"/>
  <c r="G15" i="10"/>
  <c r="G16" i="10" s="1"/>
  <c r="G33" i="10" s="1"/>
  <c r="F15" i="10"/>
  <c r="I14" i="10"/>
  <c r="F14" i="10"/>
  <c r="I13" i="10"/>
  <c r="F13" i="10"/>
  <c r="I12" i="10"/>
  <c r="F12" i="10"/>
  <c r="I11" i="10"/>
  <c r="F11" i="10"/>
  <c r="F16" i="10" s="1"/>
  <c r="G10" i="10"/>
  <c r="I10" i="10" s="1"/>
  <c r="F10" i="10"/>
  <c r="H9" i="10"/>
  <c r="H33" i="10" s="1"/>
  <c r="G9" i="10"/>
  <c r="E9" i="10"/>
  <c r="D9" i="10"/>
  <c r="D33" i="10" s="1"/>
  <c r="I8" i="10"/>
  <c r="F8" i="10"/>
  <c r="F9" i="10" s="1"/>
  <c r="I7" i="10"/>
  <c r="I9" i="10" s="1"/>
  <c r="F7" i="10"/>
  <c r="I129" i="9"/>
  <c r="F129" i="9"/>
  <c r="I128" i="9"/>
  <c r="F128" i="9"/>
  <c r="I127" i="9"/>
  <c r="F127" i="9"/>
  <c r="I125" i="9"/>
  <c r="F125" i="9"/>
  <c r="I124" i="9"/>
  <c r="F124" i="9"/>
  <c r="I123" i="9"/>
  <c r="F123" i="9"/>
  <c r="H122" i="9"/>
  <c r="E122" i="9"/>
  <c r="F122" i="9" s="1"/>
  <c r="D122" i="9"/>
  <c r="G122" i="9" s="1"/>
  <c r="F121" i="9"/>
  <c r="I120" i="9"/>
  <c r="F120" i="9"/>
  <c r="I119" i="9"/>
  <c r="F119" i="9"/>
  <c r="I118" i="9"/>
  <c r="F118" i="9"/>
  <c r="H117" i="9"/>
  <c r="H126" i="9" s="1"/>
  <c r="H130" i="9" s="1"/>
  <c r="H134" i="9" s="1"/>
  <c r="G117" i="9"/>
  <c r="E117" i="9"/>
  <c r="D117" i="9"/>
  <c r="D126" i="9" s="1"/>
  <c r="D130" i="9" s="1"/>
  <c r="D134" i="9" s="1"/>
  <c r="I116" i="9"/>
  <c r="F116" i="9"/>
  <c r="I115" i="9"/>
  <c r="F115" i="9"/>
  <c r="I114" i="9"/>
  <c r="F114" i="9"/>
  <c r="I113" i="9"/>
  <c r="I117" i="9" s="1"/>
  <c r="F113" i="9"/>
  <c r="F117" i="9" s="1"/>
  <c r="F126" i="9" s="1"/>
  <c r="I112" i="9"/>
  <c r="F112" i="9"/>
  <c r="I111" i="9"/>
  <c r="F111" i="9"/>
  <c r="H107" i="9"/>
  <c r="G107" i="9"/>
  <c r="E107" i="9"/>
  <c r="D107" i="9"/>
  <c r="D110" i="9" s="1"/>
  <c r="I106" i="9"/>
  <c r="F106" i="9"/>
  <c r="I105" i="9"/>
  <c r="F105" i="9"/>
  <c r="I104" i="9"/>
  <c r="F104" i="9"/>
  <c r="I103" i="9"/>
  <c r="F103" i="9"/>
  <c r="I102" i="9"/>
  <c r="I107" i="9" s="1"/>
  <c r="F102" i="9"/>
  <c r="F107" i="9" s="1"/>
  <c r="I101" i="9"/>
  <c r="F101" i="9"/>
  <c r="H100" i="9"/>
  <c r="G100" i="9"/>
  <c r="E100" i="9"/>
  <c r="D100" i="9"/>
  <c r="I99" i="9"/>
  <c r="F99" i="9"/>
  <c r="I98" i="9"/>
  <c r="F98" i="9"/>
  <c r="I97" i="9"/>
  <c r="F97" i="9"/>
  <c r="I96" i="9"/>
  <c r="F96" i="9"/>
  <c r="I95" i="9"/>
  <c r="I100" i="9" s="1"/>
  <c r="F95" i="9"/>
  <c r="F100" i="9" s="1"/>
  <c r="H94" i="9"/>
  <c r="E94" i="9"/>
  <c r="I93" i="9"/>
  <c r="F93" i="9"/>
  <c r="I92" i="9"/>
  <c r="F92" i="9"/>
  <c r="I91" i="9"/>
  <c r="F91" i="9"/>
  <c r="I90" i="9"/>
  <c r="F90" i="9"/>
  <c r="I89" i="9"/>
  <c r="F89" i="9"/>
  <c r="I88" i="9"/>
  <c r="F88" i="9"/>
  <c r="I87" i="9"/>
  <c r="F87" i="9"/>
  <c r="I86" i="9"/>
  <c r="F86" i="9"/>
  <c r="I85" i="9"/>
  <c r="F85" i="9"/>
  <c r="G84" i="9"/>
  <c r="G94" i="9" s="1"/>
  <c r="D84" i="9"/>
  <c r="F84" i="9" s="1"/>
  <c r="F94" i="9" s="1"/>
  <c r="I83" i="9"/>
  <c r="F83" i="9"/>
  <c r="H82" i="9"/>
  <c r="G82" i="9"/>
  <c r="E82" i="9"/>
  <c r="D82" i="9"/>
  <c r="I81" i="9"/>
  <c r="F81" i="9"/>
  <c r="I80" i="9"/>
  <c r="F80" i="9"/>
  <c r="I79" i="9"/>
  <c r="F79" i="9"/>
  <c r="I78" i="9"/>
  <c r="F78" i="9"/>
  <c r="I77" i="9"/>
  <c r="F77" i="9"/>
  <c r="I76" i="9"/>
  <c r="I82" i="9" s="1"/>
  <c r="F76" i="9"/>
  <c r="F82" i="9" s="1"/>
  <c r="I75" i="9"/>
  <c r="F75" i="9"/>
  <c r="H74" i="9"/>
  <c r="E74" i="9"/>
  <c r="G73" i="9"/>
  <c r="G74" i="9" s="1"/>
  <c r="D73" i="9"/>
  <c r="F73" i="9" s="1"/>
  <c r="F74" i="9" s="1"/>
  <c r="I72" i="9"/>
  <c r="F72" i="9"/>
  <c r="I71" i="9"/>
  <c r="F71" i="9"/>
  <c r="I70" i="9"/>
  <c r="F70" i="9"/>
  <c r="I69" i="9"/>
  <c r="F69" i="9"/>
  <c r="I68" i="9"/>
  <c r="F68" i="9"/>
  <c r="H63" i="9"/>
  <c r="G63" i="9"/>
  <c r="E63" i="9"/>
  <c r="D63" i="9"/>
  <c r="I62" i="9"/>
  <c r="F62" i="9"/>
  <c r="I61" i="9"/>
  <c r="I63" i="9" s="1"/>
  <c r="F61" i="9"/>
  <c r="I60" i="9"/>
  <c r="F60" i="9"/>
  <c r="F63" i="9" s="1"/>
  <c r="I59" i="9"/>
  <c r="F59" i="9"/>
  <c r="H56" i="9"/>
  <c r="H58" i="9" s="1"/>
  <c r="H64" i="9" s="1"/>
  <c r="G56" i="9"/>
  <c r="G57" i="9" s="1"/>
  <c r="E56" i="9"/>
  <c r="E58" i="9" s="1"/>
  <c r="E64" i="9" s="1"/>
  <c r="D56" i="9"/>
  <c r="D57" i="9" s="1"/>
  <c r="I55" i="9"/>
  <c r="F55" i="9"/>
  <c r="I54" i="9"/>
  <c r="F54" i="9"/>
  <c r="I53" i="9"/>
  <c r="F53" i="9"/>
  <c r="I52" i="9"/>
  <c r="F52" i="9"/>
  <c r="I51" i="9"/>
  <c r="F51" i="9"/>
  <c r="I50" i="9"/>
  <c r="F50" i="9"/>
  <c r="I49" i="9"/>
  <c r="F49" i="9"/>
  <c r="I48" i="9"/>
  <c r="F48" i="9"/>
  <c r="I47" i="9"/>
  <c r="I56" i="9" s="1"/>
  <c r="F47" i="9"/>
  <c r="F56" i="9" s="1"/>
  <c r="H46" i="9"/>
  <c r="G46" i="9"/>
  <c r="E46" i="9"/>
  <c r="D46" i="9"/>
  <c r="I45" i="9"/>
  <c r="F45" i="9"/>
  <c r="I44" i="9"/>
  <c r="F44" i="9"/>
  <c r="I43" i="9"/>
  <c r="F43" i="9"/>
  <c r="I42" i="9"/>
  <c r="I46" i="9" s="1"/>
  <c r="F42" i="9"/>
  <c r="F46" i="9" s="1"/>
  <c r="H41" i="9"/>
  <c r="G41" i="9"/>
  <c r="E41" i="9"/>
  <c r="D41" i="9"/>
  <c r="I40" i="9"/>
  <c r="F40" i="9"/>
  <c r="I39" i="9"/>
  <c r="F39" i="9"/>
  <c r="I38" i="9"/>
  <c r="F38" i="9"/>
  <c r="I37" i="9"/>
  <c r="F37" i="9"/>
  <c r="I36" i="9"/>
  <c r="F36" i="9"/>
  <c r="I35" i="9"/>
  <c r="F35" i="9"/>
  <c r="I34" i="9"/>
  <c r="I41" i="9" s="1"/>
  <c r="F34" i="9"/>
  <c r="F41" i="9" s="1"/>
  <c r="H32" i="9"/>
  <c r="H33" i="9" s="1"/>
  <c r="G32" i="9"/>
  <c r="G33" i="9" s="1"/>
  <c r="E32" i="9"/>
  <c r="E33" i="9" s="1"/>
  <c r="D32" i="9"/>
  <c r="D33" i="9" s="1"/>
  <c r="I31" i="9"/>
  <c r="F31" i="9"/>
  <c r="I30" i="9"/>
  <c r="F30" i="9"/>
  <c r="I29" i="9"/>
  <c r="F29" i="9"/>
  <c r="I28" i="9"/>
  <c r="F28" i="9"/>
  <c r="I27" i="9"/>
  <c r="F27" i="9"/>
  <c r="I26" i="9"/>
  <c r="F26" i="9"/>
  <c r="I25" i="9"/>
  <c r="F25" i="9"/>
  <c r="I24" i="9"/>
  <c r="F24" i="9"/>
  <c r="I23" i="9"/>
  <c r="F23" i="9"/>
  <c r="I22" i="9"/>
  <c r="F22" i="9"/>
  <c r="I21" i="9"/>
  <c r="F21" i="9"/>
  <c r="I20" i="9"/>
  <c r="F20" i="9"/>
  <c r="I19" i="9"/>
  <c r="F19" i="9"/>
  <c r="I18" i="9"/>
  <c r="I32" i="9" s="1"/>
  <c r="F18" i="9"/>
  <c r="F32" i="9" s="1"/>
  <c r="I17" i="9"/>
  <c r="F17" i="9"/>
  <c r="H16" i="9"/>
  <c r="E16" i="9"/>
  <c r="D16" i="9"/>
  <c r="I15" i="9"/>
  <c r="F15" i="9"/>
  <c r="I14" i="9"/>
  <c r="F14" i="9"/>
  <c r="I13" i="9"/>
  <c r="D13" i="9"/>
  <c r="F13" i="9" s="1"/>
  <c r="I12" i="9"/>
  <c r="G12" i="9"/>
  <c r="D12" i="9"/>
  <c r="F12" i="9" s="1"/>
  <c r="I11" i="9"/>
  <c r="I16" i="9" s="1"/>
  <c r="G11" i="9"/>
  <c r="G16" i="9" s="1"/>
  <c r="D11" i="9"/>
  <c r="F11" i="9" s="1"/>
  <c r="I10" i="9"/>
  <c r="D10" i="9"/>
  <c r="F10" i="9" s="1"/>
  <c r="H9" i="9"/>
  <c r="G9" i="9"/>
  <c r="E9" i="9"/>
  <c r="D9" i="9"/>
  <c r="I8" i="9"/>
  <c r="F8" i="9"/>
  <c r="I7" i="9"/>
  <c r="I9" i="9" s="1"/>
  <c r="F7" i="9"/>
  <c r="F9" i="9" s="1"/>
  <c r="D7" i="9"/>
  <c r="AY117" i="8"/>
  <c r="AX117" i="8"/>
  <c r="AW117" i="8"/>
  <c r="AV117" i="8"/>
  <c r="AU117" i="8"/>
  <c r="AT117" i="8"/>
  <c r="AS117" i="8"/>
  <c r="AR117" i="8"/>
  <c r="AQ117" i="8"/>
  <c r="AP117" i="8"/>
  <c r="AO117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E116" i="8"/>
  <c r="D116" i="8"/>
  <c r="E115" i="8"/>
  <c r="D115" i="8"/>
  <c r="K114" i="8"/>
  <c r="G114" i="8" s="1"/>
  <c r="I114" i="8" s="1"/>
  <c r="E114" i="8"/>
  <c r="D114" i="8"/>
  <c r="K113" i="8"/>
  <c r="G113" i="8" s="1"/>
  <c r="J113" i="8"/>
  <c r="J117" i="8" s="1"/>
  <c r="H112" i="8"/>
  <c r="G112" i="8"/>
  <c r="E112" i="8"/>
  <c r="D112" i="8"/>
  <c r="H111" i="8"/>
  <c r="G111" i="8"/>
  <c r="E111" i="8"/>
  <c r="D111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H106" i="8"/>
  <c r="G124" i="3" s="1"/>
  <c r="G106" i="8"/>
  <c r="E106" i="8"/>
  <c r="D106" i="8"/>
  <c r="H105" i="8"/>
  <c r="G123" i="3" s="1"/>
  <c r="G105" i="8"/>
  <c r="F123" i="3" s="1"/>
  <c r="E105" i="8"/>
  <c r="D123" i="3" s="1"/>
  <c r="D105" i="8"/>
  <c r="C123" i="3" s="1"/>
  <c r="H104" i="8"/>
  <c r="G104" i="8"/>
  <c r="F122" i="3" s="1"/>
  <c r="E104" i="8"/>
  <c r="D122" i="3" s="1"/>
  <c r="D104" i="8"/>
  <c r="H103" i="8"/>
  <c r="G121" i="3" s="1"/>
  <c r="G103" i="8"/>
  <c r="F121" i="3" s="1"/>
  <c r="E103" i="8"/>
  <c r="D121" i="3" s="1"/>
  <c r="D103" i="8"/>
  <c r="C121" i="3" s="1"/>
  <c r="H102" i="8"/>
  <c r="H107" i="8" s="1"/>
  <c r="G102" i="8"/>
  <c r="E102" i="8"/>
  <c r="D120" i="3" s="1"/>
  <c r="D102" i="8"/>
  <c r="D107" i="8" s="1"/>
  <c r="H101" i="8"/>
  <c r="G119" i="3" s="1"/>
  <c r="F26" i="2" s="1"/>
  <c r="G101" i="8"/>
  <c r="F119" i="3" s="1"/>
  <c r="E101" i="8"/>
  <c r="D119" i="3" s="1"/>
  <c r="C26" i="2" s="1"/>
  <c r="D101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H99" i="8"/>
  <c r="G99" i="8"/>
  <c r="E99" i="8"/>
  <c r="D99" i="8"/>
  <c r="C117" i="3" s="1"/>
  <c r="H98" i="8"/>
  <c r="G116" i="3" s="1"/>
  <c r="G98" i="8"/>
  <c r="F116" i="3" s="1"/>
  <c r="E98" i="8"/>
  <c r="D98" i="8"/>
  <c r="H97" i="8"/>
  <c r="G97" i="8"/>
  <c r="F115" i="3" s="1"/>
  <c r="E97" i="8"/>
  <c r="D115" i="3" s="1"/>
  <c r="D97" i="8"/>
  <c r="H96" i="8"/>
  <c r="G114" i="3" s="1"/>
  <c r="G96" i="8"/>
  <c r="F114" i="3" s="1"/>
  <c r="E96" i="8"/>
  <c r="D114" i="3" s="1"/>
  <c r="D96" i="8"/>
  <c r="H95" i="8"/>
  <c r="G95" i="8"/>
  <c r="F113" i="3" s="1"/>
  <c r="E95" i="8"/>
  <c r="E100" i="8" s="1"/>
  <c r="D95" i="8"/>
  <c r="J94" i="8"/>
  <c r="H93" i="8"/>
  <c r="G111" i="3" s="1"/>
  <c r="G93" i="8"/>
  <c r="F111" i="3" s="1"/>
  <c r="E93" i="8"/>
  <c r="D111" i="3" s="1"/>
  <c r="D93" i="8"/>
  <c r="C111" i="3" s="1"/>
  <c r="H92" i="8"/>
  <c r="G92" i="8"/>
  <c r="F110" i="3" s="1"/>
  <c r="E92" i="8"/>
  <c r="D92" i="8"/>
  <c r="C110" i="3" s="1"/>
  <c r="H91" i="8"/>
  <c r="G91" i="8"/>
  <c r="F109" i="3" s="1"/>
  <c r="E91" i="8"/>
  <c r="D109" i="3" s="1"/>
  <c r="D91" i="8"/>
  <c r="C109" i="3" s="1"/>
  <c r="H90" i="8"/>
  <c r="G90" i="8"/>
  <c r="F108" i="3" s="1"/>
  <c r="E90" i="8"/>
  <c r="D90" i="8"/>
  <c r="H89" i="8"/>
  <c r="G107" i="3" s="1"/>
  <c r="G89" i="8"/>
  <c r="F107" i="3" s="1"/>
  <c r="E89" i="8"/>
  <c r="D107" i="3" s="1"/>
  <c r="D89" i="8"/>
  <c r="C107" i="3" s="1"/>
  <c r="H88" i="8"/>
  <c r="G88" i="8"/>
  <c r="F106" i="3" s="1"/>
  <c r="E88" i="8"/>
  <c r="D106" i="3" s="1"/>
  <c r="D88" i="8"/>
  <c r="H87" i="8"/>
  <c r="G105" i="3" s="1"/>
  <c r="G87" i="8"/>
  <c r="F105" i="3" s="1"/>
  <c r="E87" i="8"/>
  <c r="D105" i="3" s="1"/>
  <c r="D87" i="8"/>
  <c r="C105" i="3" s="1"/>
  <c r="M86" i="8"/>
  <c r="M94" i="8" s="1"/>
  <c r="H86" i="8"/>
  <c r="G104" i="3" s="1"/>
  <c r="E86" i="8"/>
  <c r="D86" i="8"/>
  <c r="C104" i="3" s="1"/>
  <c r="H85" i="8"/>
  <c r="G103" i="3" s="1"/>
  <c r="G85" i="8"/>
  <c r="E85" i="8"/>
  <c r="D85" i="8"/>
  <c r="C103" i="3" s="1"/>
  <c r="H84" i="8"/>
  <c r="G102" i="3" s="1"/>
  <c r="G84" i="8"/>
  <c r="F102" i="3" s="1"/>
  <c r="E84" i="8"/>
  <c r="D102" i="3" s="1"/>
  <c r="D84" i="8"/>
  <c r="H83" i="8"/>
  <c r="G101" i="3" s="1"/>
  <c r="G83" i="8"/>
  <c r="E83" i="8"/>
  <c r="D83" i="8"/>
  <c r="C101" i="3" s="1"/>
  <c r="H81" i="8"/>
  <c r="G81" i="8"/>
  <c r="E81" i="8"/>
  <c r="D81" i="8"/>
  <c r="H80" i="8"/>
  <c r="G80" i="8"/>
  <c r="E80" i="8"/>
  <c r="D80" i="8"/>
  <c r="H79" i="8"/>
  <c r="G79" i="8"/>
  <c r="E79" i="8"/>
  <c r="D79" i="8"/>
  <c r="H78" i="8"/>
  <c r="G78" i="8"/>
  <c r="F96" i="3" s="1"/>
  <c r="E78" i="8"/>
  <c r="D96" i="3" s="1"/>
  <c r="D78" i="8"/>
  <c r="C96" i="3" s="1"/>
  <c r="H77" i="8"/>
  <c r="G77" i="8"/>
  <c r="F95" i="3" s="1"/>
  <c r="E77" i="8"/>
  <c r="D95" i="3" s="1"/>
  <c r="D77" i="8"/>
  <c r="C95" i="3" s="1"/>
  <c r="H73" i="8"/>
  <c r="G73" i="8"/>
  <c r="E73" i="8"/>
  <c r="D73" i="8"/>
  <c r="H72" i="8"/>
  <c r="G90" i="3" s="1"/>
  <c r="G72" i="8"/>
  <c r="F90" i="3" s="1"/>
  <c r="E72" i="8"/>
  <c r="D72" i="8"/>
  <c r="C90" i="3" s="1"/>
  <c r="H71" i="8"/>
  <c r="G89" i="3" s="1"/>
  <c r="G71" i="8"/>
  <c r="F89" i="3" s="1"/>
  <c r="E71" i="8"/>
  <c r="D71" i="8"/>
  <c r="C89" i="3" s="1"/>
  <c r="H70" i="8"/>
  <c r="G88" i="3" s="1"/>
  <c r="G70" i="8"/>
  <c r="E70" i="8"/>
  <c r="D70" i="8"/>
  <c r="C88" i="3" s="1"/>
  <c r="H69" i="8"/>
  <c r="G87" i="3" s="1"/>
  <c r="G69" i="8"/>
  <c r="F87" i="3" s="1"/>
  <c r="E69" i="8"/>
  <c r="D69" i="8"/>
  <c r="C87" i="3" s="1"/>
  <c r="H68" i="8"/>
  <c r="G68" i="8"/>
  <c r="E68" i="8"/>
  <c r="D68" i="8"/>
  <c r="H62" i="8"/>
  <c r="G62" i="8"/>
  <c r="E62" i="8"/>
  <c r="D62" i="8"/>
  <c r="H61" i="8"/>
  <c r="G73" i="3" s="1"/>
  <c r="G61" i="8"/>
  <c r="F73" i="3" s="1"/>
  <c r="E61" i="8"/>
  <c r="D73" i="3" s="1"/>
  <c r="D61" i="8"/>
  <c r="C73" i="3" s="1"/>
  <c r="H60" i="8"/>
  <c r="G72" i="3" s="1"/>
  <c r="G60" i="8"/>
  <c r="F72" i="3" s="1"/>
  <c r="E60" i="8"/>
  <c r="D72" i="3" s="1"/>
  <c r="D60" i="8"/>
  <c r="C72" i="3" s="1"/>
  <c r="H59" i="8"/>
  <c r="G59" i="8"/>
  <c r="E59" i="8"/>
  <c r="D59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H55" i="8"/>
  <c r="G55" i="3" s="1"/>
  <c r="G55" i="8"/>
  <c r="F55" i="3" s="1"/>
  <c r="E55" i="8"/>
  <c r="D55" i="8"/>
  <c r="C55" i="3" s="1"/>
  <c r="H54" i="8"/>
  <c r="G54" i="8"/>
  <c r="E54" i="8"/>
  <c r="D54" i="8"/>
  <c r="H53" i="8"/>
  <c r="G53" i="3" s="1"/>
  <c r="G53" i="8"/>
  <c r="E53" i="8"/>
  <c r="D53" i="3" s="1"/>
  <c r="D53" i="8"/>
  <c r="C53" i="3" s="1"/>
  <c r="H52" i="8"/>
  <c r="G52" i="3" s="1"/>
  <c r="G52" i="8"/>
  <c r="E52" i="8"/>
  <c r="D52" i="3" s="1"/>
  <c r="D52" i="8"/>
  <c r="C52" i="3" s="1"/>
  <c r="H51" i="8"/>
  <c r="G51" i="3" s="1"/>
  <c r="G51" i="8"/>
  <c r="F51" i="3" s="1"/>
  <c r="E51" i="8"/>
  <c r="D51" i="3" s="1"/>
  <c r="D51" i="8"/>
  <c r="C51" i="3" s="1"/>
  <c r="H50" i="8"/>
  <c r="G50" i="3" s="1"/>
  <c r="G50" i="8"/>
  <c r="F50" i="3" s="1"/>
  <c r="E50" i="8"/>
  <c r="D50" i="8"/>
  <c r="H49" i="8"/>
  <c r="G49" i="3" s="1"/>
  <c r="G49" i="8"/>
  <c r="F49" i="3" s="1"/>
  <c r="E49" i="8"/>
  <c r="D49" i="3" s="1"/>
  <c r="D49" i="8"/>
  <c r="C49" i="3" s="1"/>
  <c r="H48" i="8"/>
  <c r="G48" i="3" s="1"/>
  <c r="G48" i="8"/>
  <c r="E48" i="8"/>
  <c r="D48" i="3" s="1"/>
  <c r="D48" i="8"/>
  <c r="H47" i="8"/>
  <c r="G47" i="8"/>
  <c r="F47" i="3" s="1"/>
  <c r="E47" i="8"/>
  <c r="D47" i="3" s="1"/>
  <c r="D47" i="8"/>
  <c r="C47" i="3" s="1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H45" i="8"/>
  <c r="G45" i="8"/>
  <c r="E45" i="8"/>
  <c r="D45" i="8"/>
  <c r="H44" i="8"/>
  <c r="G44" i="8"/>
  <c r="E44" i="8"/>
  <c r="D44" i="3" s="1"/>
  <c r="D44" i="8"/>
  <c r="H43" i="8"/>
  <c r="G43" i="8"/>
  <c r="E43" i="8"/>
  <c r="D43" i="3" s="1"/>
  <c r="D43" i="8"/>
  <c r="H42" i="8"/>
  <c r="G42" i="8"/>
  <c r="E42" i="8"/>
  <c r="E46" i="8" s="1"/>
  <c r="D42" i="8"/>
  <c r="J41" i="8"/>
  <c r="H40" i="8"/>
  <c r="G40" i="8"/>
  <c r="E40" i="8"/>
  <c r="D40" i="8"/>
  <c r="H39" i="8"/>
  <c r="G39" i="3" s="1"/>
  <c r="G39" i="8"/>
  <c r="F39" i="3" s="1"/>
  <c r="E39" i="8"/>
  <c r="D39" i="8"/>
  <c r="H38" i="8"/>
  <c r="G38" i="3" s="1"/>
  <c r="G38" i="8"/>
  <c r="E38" i="8"/>
  <c r="D38" i="3" s="1"/>
  <c r="D38" i="8"/>
  <c r="H37" i="8"/>
  <c r="G37" i="8"/>
  <c r="E37" i="8"/>
  <c r="D37" i="8"/>
  <c r="H36" i="8"/>
  <c r="G36" i="3" s="1"/>
  <c r="G36" i="8"/>
  <c r="E36" i="8"/>
  <c r="D36" i="3" s="1"/>
  <c r="D36" i="8"/>
  <c r="C36" i="3" s="1"/>
  <c r="H35" i="8"/>
  <c r="G35" i="8"/>
  <c r="E35" i="8"/>
  <c r="D35" i="3" s="1"/>
  <c r="D35" i="8"/>
  <c r="H34" i="8"/>
  <c r="H41" i="8" s="1"/>
  <c r="G34" i="8"/>
  <c r="E34" i="8"/>
  <c r="E41" i="8" s="1"/>
  <c r="D34" i="8"/>
  <c r="J32" i="8"/>
  <c r="H31" i="8"/>
  <c r="G31" i="8"/>
  <c r="E31" i="8"/>
  <c r="D31" i="8"/>
  <c r="H30" i="8"/>
  <c r="G30" i="8"/>
  <c r="E30" i="8"/>
  <c r="D30" i="8"/>
  <c r="AW29" i="8"/>
  <c r="AW32" i="8" s="1"/>
  <c r="AK29" i="8"/>
  <c r="AK32" i="8" s="1"/>
  <c r="AJ29" i="8"/>
  <c r="AJ32" i="8" s="1"/>
  <c r="E29" i="8"/>
  <c r="D29" i="3" s="1"/>
  <c r="H28" i="8"/>
  <c r="G28" i="8"/>
  <c r="E28" i="8"/>
  <c r="D28" i="8"/>
  <c r="H27" i="8"/>
  <c r="G27" i="3" s="1"/>
  <c r="G27" i="8"/>
  <c r="F27" i="3" s="1"/>
  <c r="E27" i="8"/>
  <c r="D27" i="3" s="1"/>
  <c r="D27" i="8"/>
  <c r="H26" i="8"/>
  <c r="G26" i="8"/>
  <c r="F26" i="3" s="1"/>
  <c r="E26" i="8"/>
  <c r="D26" i="3" s="1"/>
  <c r="D26" i="8"/>
  <c r="C26" i="3" s="1"/>
  <c r="H25" i="8"/>
  <c r="G25" i="3" s="1"/>
  <c r="G25" i="8"/>
  <c r="E25" i="8"/>
  <c r="D25" i="3" s="1"/>
  <c r="D25" i="8"/>
  <c r="H24" i="8"/>
  <c r="G24" i="3" s="1"/>
  <c r="G24" i="8"/>
  <c r="F24" i="3" s="1"/>
  <c r="E24" i="8"/>
  <c r="D24" i="3" s="1"/>
  <c r="D24" i="8"/>
  <c r="C24" i="3" s="1"/>
  <c r="H23" i="8"/>
  <c r="G23" i="8"/>
  <c r="E23" i="8"/>
  <c r="D23" i="8"/>
  <c r="H22" i="8"/>
  <c r="G22" i="8"/>
  <c r="E22" i="8"/>
  <c r="D22" i="3" s="1"/>
  <c r="D22" i="8"/>
  <c r="C22" i="3" s="1"/>
  <c r="H21" i="8"/>
  <c r="G21" i="8"/>
  <c r="E21" i="8"/>
  <c r="D21" i="3" s="1"/>
  <c r="D21" i="8"/>
  <c r="C21" i="3" s="1"/>
  <c r="H20" i="8"/>
  <c r="G20" i="8"/>
  <c r="E20" i="8"/>
  <c r="D20" i="3" s="1"/>
  <c r="D20" i="8"/>
  <c r="C20" i="3" s="1"/>
  <c r="H19" i="8"/>
  <c r="G19" i="8"/>
  <c r="E19" i="8"/>
  <c r="D19" i="8"/>
  <c r="C19" i="3" s="1"/>
  <c r="H18" i="8"/>
  <c r="G18" i="3" s="1"/>
  <c r="G18" i="8"/>
  <c r="F18" i="3" s="1"/>
  <c r="E18" i="8"/>
  <c r="D18" i="3" s="1"/>
  <c r="D18" i="8"/>
  <c r="C18" i="3" s="1"/>
  <c r="H17" i="8"/>
  <c r="G17" i="3" s="1"/>
  <c r="F13" i="2" s="1"/>
  <c r="G17" i="8"/>
  <c r="F17" i="3" s="1"/>
  <c r="E17" i="8"/>
  <c r="D17" i="3" s="1"/>
  <c r="C13" i="2" s="1"/>
  <c r="D17" i="8"/>
  <c r="C17" i="3" s="1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AI15" i="8"/>
  <c r="AI16" i="8" s="1"/>
  <c r="AH15" i="8"/>
  <c r="AH16" i="8" s="1"/>
  <c r="AG15" i="8"/>
  <c r="AG16" i="8" s="1"/>
  <c r="AF15" i="8"/>
  <c r="AF16" i="8" s="1"/>
  <c r="AE15" i="8"/>
  <c r="AD15" i="8"/>
  <c r="AA15" i="8"/>
  <c r="AA16" i="8" s="1"/>
  <c r="Z15" i="8"/>
  <c r="J15" i="8"/>
  <c r="H15" i="8"/>
  <c r="E15" i="8"/>
  <c r="J14" i="8"/>
  <c r="H14" i="8"/>
  <c r="G14" i="8"/>
  <c r="E14" i="8"/>
  <c r="AE13" i="8"/>
  <c r="AD13" i="8"/>
  <c r="AC13" i="8"/>
  <c r="AC16" i="8" s="1"/>
  <c r="AB13" i="8"/>
  <c r="J13" i="8"/>
  <c r="H13" i="8"/>
  <c r="E13" i="8"/>
  <c r="H12" i="8"/>
  <c r="G12" i="8"/>
  <c r="E12" i="8"/>
  <c r="D12" i="8"/>
  <c r="H11" i="8"/>
  <c r="G11" i="8"/>
  <c r="E11" i="8"/>
  <c r="D11" i="8"/>
  <c r="H10" i="8"/>
  <c r="G10" i="8"/>
  <c r="E10" i="8"/>
  <c r="D10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I8" i="8"/>
  <c r="E8" i="8"/>
  <c r="D8" i="8"/>
  <c r="C8" i="3" s="1"/>
  <c r="J7" i="8"/>
  <c r="J9" i="8" s="1"/>
  <c r="H7" i="8"/>
  <c r="H9" i="8" s="1"/>
  <c r="G7" i="8"/>
  <c r="E7" i="8"/>
  <c r="W2" i="8"/>
  <c r="AE2" i="8" s="1"/>
  <c r="AM2" i="8" s="1"/>
  <c r="O2" i="8"/>
  <c r="W1" i="8"/>
  <c r="AE1" i="8" s="1"/>
  <c r="AM1" i="8" s="1"/>
  <c r="O1" i="8"/>
  <c r="H27" i="7"/>
  <c r="F27" i="7"/>
  <c r="E27" i="7"/>
  <c r="D27" i="7"/>
  <c r="H25" i="7"/>
  <c r="F25" i="7"/>
  <c r="E25" i="7"/>
  <c r="D25" i="7"/>
  <c r="I24" i="7"/>
  <c r="H24" i="7"/>
  <c r="G24" i="7"/>
  <c r="F24" i="7"/>
  <c r="E24" i="7"/>
  <c r="D24" i="7"/>
  <c r="I23" i="7"/>
  <c r="H21" i="7"/>
  <c r="G21" i="7"/>
  <c r="G25" i="7" s="1"/>
  <c r="F21" i="7"/>
  <c r="E21" i="7"/>
  <c r="D21" i="7"/>
  <c r="I20" i="7"/>
  <c r="I21" i="7" s="1"/>
  <c r="I25" i="7" s="1"/>
  <c r="F20" i="7"/>
  <c r="I19" i="7"/>
  <c r="F19" i="7"/>
  <c r="I18" i="7"/>
  <c r="F18" i="7"/>
  <c r="I17" i="7"/>
  <c r="F17" i="7"/>
  <c r="I16" i="7"/>
  <c r="F16" i="7"/>
  <c r="H14" i="7"/>
  <c r="G14" i="7"/>
  <c r="I14" i="7" s="1"/>
  <c r="F14" i="7"/>
  <c r="E14" i="7"/>
  <c r="D14" i="7"/>
  <c r="I13" i="7"/>
  <c r="F13" i="7"/>
  <c r="J12" i="7"/>
  <c r="I12" i="7"/>
  <c r="F12" i="7"/>
  <c r="D12" i="7"/>
  <c r="G105" i="6"/>
  <c r="E105" i="6"/>
  <c r="D105" i="6"/>
  <c r="F98" i="6"/>
  <c r="G96" i="6"/>
  <c r="W45" i="25" s="1"/>
  <c r="E96" i="6"/>
  <c r="V45" i="25" s="1"/>
  <c r="D92" i="6"/>
  <c r="Z45" i="25" s="1"/>
  <c r="F87" i="6"/>
  <c r="D86" i="6"/>
  <c r="D84" i="6"/>
  <c r="G82" i="6"/>
  <c r="F82" i="6"/>
  <c r="E82" i="6"/>
  <c r="D82" i="6"/>
  <c r="G80" i="6"/>
  <c r="F80" i="6"/>
  <c r="E80" i="6"/>
  <c r="D80" i="6"/>
  <c r="G77" i="6"/>
  <c r="G78" i="6" s="1"/>
  <c r="E77" i="6"/>
  <c r="E78" i="6" s="1"/>
  <c r="F73" i="6"/>
  <c r="AI42" i="25" s="1"/>
  <c r="D73" i="6"/>
  <c r="AH42" i="25" s="1"/>
  <c r="F72" i="6"/>
  <c r="F90" i="6" s="1"/>
  <c r="D72" i="6"/>
  <c r="D90" i="6" s="1"/>
  <c r="D69" i="6"/>
  <c r="Z42" i="25" s="1"/>
  <c r="D65" i="6"/>
  <c r="D87" i="6" s="1"/>
  <c r="F64" i="6"/>
  <c r="F86" i="6" s="1"/>
  <c r="D64" i="6"/>
  <c r="F63" i="6"/>
  <c r="F85" i="6" s="1"/>
  <c r="D63" i="6"/>
  <c r="D85" i="6" s="1"/>
  <c r="F62" i="6"/>
  <c r="F84" i="6" s="1"/>
  <c r="D62" i="6"/>
  <c r="G56" i="6"/>
  <c r="S40" i="25" s="1"/>
  <c r="E56" i="6"/>
  <c r="R40" i="25" s="1"/>
  <c r="G54" i="6"/>
  <c r="Q40" i="25" s="1"/>
  <c r="E54" i="6"/>
  <c r="P40" i="25" s="1"/>
  <c r="G49" i="6"/>
  <c r="AO40" i="25" s="1"/>
  <c r="E49" i="6"/>
  <c r="F48" i="6"/>
  <c r="AM40" i="25" s="1"/>
  <c r="G41" i="6"/>
  <c r="F41" i="6"/>
  <c r="E41" i="6"/>
  <c r="D41" i="6"/>
  <c r="G39" i="6"/>
  <c r="F39" i="6"/>
  <c r="E39" i="6"/>
  <c r="D39" i="6"/>
  <c r="G35" i="6"/>
  <c r="S37" i="25" s="1"/>
  <c r="E35" i="6"/>
  <c r="R37" i="25" s="1"/>
  <c r="G33" i="6"/>
  <c r="Q37" i="25" s="1"/>
  <c r="E33" i="6"/>
  <c r="P37" i="25" s="1"/>
  <c r="F32" i="6"/>
  <c r="F53" i="6" s="1"/>
  <c r="D32" i="6"/>
  <c r="D53" i="6" s="1"/>
  <c r="G31" i="6"/>
  <c r="G52" i="6" s="1"/>
  <c r="K40" i="25" s="1"/>
  <c r="E31" i="6"/>
  <c r="J37" i="25" s="1"/>
  <c r="F30" i="6"/>
  <c r="F50" i="6" s="1"/>
  <c r="AG40" i="25" s="1"/>
  <c r="D30" i="6"/>
  <c r="D50" i="6" s="1"/>
  <c r="AF40" i="25" s="1"/>
  <c r="F28" i="6"/>
  <c r="F47" i="6" s="1"/>
  <c r="D28" i="6"/>
  <c r="D47" i="6" s="1"/>
  <c r="F27" i="6"/>
  <c r="F46" i="6" s="1"/>
  <c r="D27" i="6"/>
  <c r="D46" i="6" s="1"/>
  <c r="G24" i="6"/>
  <c r="F24" i="6"/>
  <c r="E24" i="6"/>
  <c r="D24" i="6"/>
  <c r="F21" i="6"/>
  <c r="E21" i="6"/>
  <c r="F20" i="6"/>
  <c r="D20" i="6"/>
  <c r="G19" i="6"/>
  <c r="M35" i="25" s="1"/>
  <c r="E19" i="6"/>
  <c r="L35" i="25" s="1"/>
  <c r="F18" i="6"/>
  <c r="AM35" i="25" s="1"/>
  <c r="D18" i="6"/>
  <c r="D48" i="6" s="1"/>
  <c r="AL40" i="25" s="1"/>
  <c r="F16" i="6"/>
  <c r="F34" i="6" s="1"/>
  <c r="D16" i="6"/>
  <c r="D34" i="6" s="1"/>
  <c r="F14" i="6"/>
  <c r="F45" i="6" s="1"/>
  <c r="D14" i="6"/>
  <c r="D45" i="6" s="1"/>
  <c r="F13" i="6"/>
  <c r="F44" i="6" s="1"/>
  <c r="D13" i="6"/>
  <c r="D44" i="6" s="1"/>
  <c r="G11" i="6"/>
  <c r="F11" i="6"/>
  <c r="E11" i="6"/>
  <c r="D11" i="6"/>
  <c r="F85" i="5"/>
  <c r="F117" i="3" s="1"/>
  <c r="E85" i="5"/>
  <c r="D85" i="5"/>
  <c r="F82" i="5"/>
  <c r="E82" i="5"/>
  <c r="D82" i="5"/>
  <c r="F79" i="5"/>
  <c r="E79" i="5"/>
  <c r="D79" i="5"/>
  <c r="F76" i="5"/>
  <c r="E76" i="5"/>
  <c r="F74" i="5"/>
  <c r="D74" i="5"/>
  <c r="D76" i="5" s="1"/>
  <c r="G70" i="5"/>
  <c r="G86" i="5" s="1"/>
  <c r="F70" i="5"/>
  <c r="E70" i="5"/>
  <c r="D70" i="5"/>
  <c r="E67" i="5"/>
  <c r="F66" i="5"/>
  <c r="F66" i="6" s="1"/>
  <c r="D66" i="5"/>
  <c r="D66" i="6" s="1"/>
  <c r="F64" i="5"/>
  <c r="F67" i="6" s="1"/>
  <c r="F89" i="6" s="1"/>
  <c r="D64" i="5"/>
  <c r="D67" i="5" s="1"/>
  <c r="G63" i="5"/>
  <c r="F63" i="5"/>
  <c r="E63" i="5"/>
  <c r="D63" i="5"/>
  <c r="G60" i="5"/>
  <c r="F60" i="5"/>
  <c r="E60" i="5"/>
  <c r="D60" i="5"/>
  <c r="G57" i="5"/>
  <c r="F57" i="5"/>
  <c r="E57" i="5"/>
  <c r="D57" i="5"/>
  <c r="G54" i="5"/>
  <c r="F54" i="5"/>
  <c r="E54" i="5"/>
  <c r="D54" i="5"/>
  <c r="F48" i="5"/>
  <c r="AI75" i="25" s="1"/>
  <c r="D48" i="5"/>
  <c r="AH75" i="25" s="1"/>
  <c r="F47" i="5"/>
  <c r="AC75" i="25" s="1"/>
  <c r="D47" i="5"/>
  <c r="AB75" i="25" s="1"/>
  <c r="G44" i="5"/>
  <c r="E44" i="5"/>
  <c r="V75" i="25" s="1"/>
  <c r="G42" i="5"/>
  <c r="AO75" i="25" s="1"/>
  <c r="E42" i="5"/>
  <c r="AN75" i="25" s="1"/>
  <c r="G40" i="5"/>
  <c r="E40" i="5"/>
  <c r="D40" i="5"/>
  <c r="F39" i="5"/>
  <c r="F40" i="5" s="1"/>
  <c r="D39" i="5"/>
  <c r="G35" i="5"/>
  <c r="F35" i="5"/>
  <c r="E35" i="5"/>
  <c r="D35" i="5"/>
  <c r="G32" i="5"/>
  <c r="F32" i="5"/>
  <c r="E32" i="5"/>
  <c r="D32" i="5"/>
  <c r="G29" i="5"/>
  <c r="F29" i="5"/>
  <c r="E29" i="5"/>
  <c r="D29" i="5"/>
  <c r="G25" i="5"/>
  <c r="F25" i="5"/>
  <c r="E25" i="5"/>
  <c r="D25" i="5"/>
  <c r="F19" i="5"/>
  <c r="D19" i="5"/>
  <c r="G18" i="5"/>
  <c r="S73" i="25" s="1"/>
  <c r="S74" i="25" s="1"/>
  <c r="S108" i="25" s="1"/>
  <c r="E18" i="5"/>
  <c r="R73" i="25" s="1"/>
  <c r="R74" i="25" s="1"/>
  <c r="G17" i="5"/>
  <c r="Q73" i="25" s="1"/>
  <c r="E17" i="5"/>
  <c r="P73" i="25" s="1"/>
  <c r="P74" i="25" s="1"/>
  <c r="G15" i="5"/>
  <c r="F15" i="5"/>
  <c r="E15" i="5"/>
  <c r="D15" i="5"/>
  <c r="G12" i="5"/>
  <c r="F12" i="5"/>
  <c r="E12" i="5"/>
  <c r="D12" i="5"/>
  <c r="E86" i="4"/>
  <c r="F85" i="3" s="1"/>
  <c r="H85" i="3" s="1"/>
  <c r="D86" i="4"/>
  <c r="D84" i="4"/>
  <c r="C84" i="3" s="1"/>
  <c r="E84" i="3" s="1"/>
  <c r="E83" i="4"/>
  <c r="E84" i="4" s="1"/>
  <c r="F84" i="3" s="1"/>
  <c r="H84" i="3" s="1"/>
  <c r="D83" i="4"/>
  <c r="D79" i="4"/>
  <c r="C83" i="3" s="1"/>
  <c r="E83" i="3" s="1"/>
  <c r="E77" i="4"/>
  <c r="E79" i="4" s="1"/>
  <c r="F83" i="3" s="1"/>
  <c r="H83" i="3" s="1"/>
  <c r="E74" i="4"/>
  <c r="E73" i="4"/>
  <c r="E71" i="4"/>
  <c r="D71" i="4"/>
  <c r="E64" i="4"/>
  <c r="D64" i="4"/>
  <c r="E61" i="4"/>
  <c r="D61" i="4"/>
  <c r="D75" i="4" s="1"/>
  <c r="C82" i="3" s="1"/>
  <c r="E82" i="3" s="1"/>
  <c r="E57" i="4"/>
  <c r="E54" i="4"/>
  <c r="E56" i="4" s="1"/>
  <c r="F81" i="3" s="1"/>
  <c r="H81" i="3" s="1"/>
  <c r="D54" i="4"/>
  <c r="D56" i="4" s="1"/>
  <c r="C81" i="3" s="1"/>
  <c r="E81" i="3" s="1"/>
  <c r="D50" i="4"/>
  <c r="C80" i="3" s="1"/>
  <c r="E39" i="4"/>
  <c r="D39" i="4"/>
  <c r="E38" i="4"/>
  <c r="E34" i="4"/>
  <c r="F99" i="3" s="1"/>
  <c r="H99" i="3" s="1"/>
  <c r="D34" i="4"/>
  <c r="E20" i="4"/>
  <c r="D20" i="4"/>
  <c r="D23" i="4" s="1"/>
  <c r="C98" i="3" s="1"/>
  <c r="E98" i="3" s="1"/>
  <c r="E14" i="4"/>
  <c r="D14" i="4"/>
  <c r="E13" i="4"/>
  <c r="F97" i="3" s="1"/>
  <c r="H97" i="3" s="1"/>
  <c r="D13" i="4"/>
  <c r="C97" i="3" s="1"/>
  <c r="E97" i="3" s="1"/>
  <c r="H141" i="3"/>
  <c r="E141" i="3"/>
  <c r="H140" i="3"/>
  <c r="E140" i="3"/>
  <c r="G137" i="3"/>
  <c r="F137" i="3"/>
  <c r="D137" i="3"/>
  <c r="C137" i="3"/>
  <c r="H136" i="3"/>
  <c r="E136" i="3"/>
  <c r="H135" i="3"/>
  <c r="E135" i="3"/>
  <c r="H134" i="3"/>
  <c r="E134" i="3"/>
  <c r="H133" i="3"/>
  <c r="E133" i="3"/>
  <c r="G131" i="3"/>
  <c r="F131" i="3"/>
  <c r="H131" i="3" s="1"/>
  <c r="D131" i="3"/>
  <c r="E131" i="3" s="1"/>
  <c r="C131" i="3"/>
  <c r="G130" i="3"/>
  <c r="F130" i="3"/>
  <c r="D130" i="3"/>
  <c r="E130" i="3" s="1"/>
  <c r="C130" i="3"/>
  <c r="G129" i="3"/>
  <c r="F129" i="3"/>
  <c r="D129" i="3"/>
  <c r="E129" i="3" s="1"/>
  <c r="C129" i="3"/>
  <c r="C124" i="3"/>
  <c r="C122" i="3"/>
  <c r="F120" i="3"/>
  <c r="C119" i="3"/>
  <c r="B26" i="2" s="1"/>
  <c r="D108" i="3"/>
  <c r="C99" i="3"/>
  <c r="E99" i="3" s="1"/>
  <c r="G86" i="3"/>
  <c r="D86" i="3"/>
  <c r="E85" i="3"/>
  <c r="C85" i="3"/>
  <c r="H69" i="3"/>
  <c r="E69" i="3"/>
  <c r="H68" i="3"/>
  <c r="E68" i="3"/>
  <c r="H67" i="3"/>
  <c r="E67" i="3"/>
  <c r="H66" i="3"/>
  <c r="E66" i="3"/>
  <c r="F65" i="3"/>
  <c r="E65" i="3"/>
  <c r="C65" i="3"/>
  <c r="H64" i="3"/>
  <c r="E64" i="3"/>
  <c r="H63" i="3"/>
  <c r="E63" i="3"/>
  <c r="G61" i="3"/>
  <c r="F61" i="3"/>
  <c r="H61" i="3" s="1"/>
  <c r="D61" i="3"/>
  <c r="E61" i="3" s="1"/>
  <c r="C61" i="3"/>
  <c r="G60" i="3"/>
  <c r="F60" i="3"/>
  <c r="D60" i="3"/>
  <c r="D62" i="3" s="1"/>
  <c r="D71" i="3" s="1"/>
  <c r="C60" i="3"/>
  <c r="G59" i="3"/>
  <c r="F59" i="3"/>
  <c r="F62" i="3" s="1"/>
  <c r="E59" i="3"/>
  <c r="D59" i="3"/>
  <c r="C59" i="3"/>
  <c r="D55" i="3"/>
  <c r="D50" i="3"/>
  <c r="D39" i="3"/>
  <c r="G31" i="3"/>
  <c r="D31" i="3"/>
  <c r="C31" i="3"/>
  <c r="E31" i="3" s="1"/>
  <c r="G30" i="3"/>
  <c r="F30" i="3"/>
  <c r="H30" i="3" s="1"/>
  <c r="D30" i="3"/>
  <c r="E30" i="3" s="1"/>
  <c r="C30" i="3"/>
  <c r="F25" i="3"/>
  <c r="I27" i="7" l="1"/>
  <c r="G27" i="7"/>
  <c r="J27" i="7" s="1"/>
  <c r="F31" i="3"/>
  <c r="H31" i="3" s="1"/>
  <c r="N46" i="25"/>
  <c r="G114" i="25"/>
  <c r="F12" i="3"/>
  <c r="AH16" i="25"/>
  <c r="AH33" i="25" s="1"/>
  <c r="AH109" i="25" s="1"/>
  <c r="G138" i="3"/>
  <c r="I39" i="25"/>
  <c r="AO126" i="25"/>
  <c r="AO130" i="25" s="1"/>
  <c r="F122" i="25"/>
  <c r="I122" i="25"/>
  <c r="F23" i="3"/>
  <c r="AI16" i="25"/>
  <c r="AI33" i="25" s="1"/>
  <c r="AI109" i="25" s="1"/>
  <c r="G20" i="3"/>
  <c r="G13" i="25"/>
  <c r="I34" i="25"/>
  <c r="F44" i="25"/>
  <c r="G74" i="25"/>
  <c r="U8" i="25"/>
  <c r="U9" i="25" s="1"/>
  <c r="AO108" i="25"/>
  <c r="AF16" i="25"/>
  <c r="AF33" i="25" s="1"/>
  <c r="AF109" i="25" s="1"/>
  <c r="F34" i="25"/>
  <c r="I38" i="25"/>
  <c r="G19" i="3"/>
  <c r="I28" i="25"/>
  <c r="I44" i="25"/>
  <c r="P108" i="25"/>
  <c r="P131" i="25" s="1"/>
  <c r="M16" i="25"/>
  <c r="AK16" i="25"/>
  <c r="AK33" i="25" s="1"/>
  <c r="I25" i="25"/>
  <c r="O46" i="25"/>
  <c r="O57" i="25" s="1"/>
  <c r="AK46" i="25"/>
  <c r="U57" i="25"/>
  <c r="U110" i="25" s="1"/>
  <c r="J108" i="25"/>
  <c r="J131" i="25" s="1"/>
  <c r="F113" i="25"/>
  <c r="H114" i="25"/>
  <c r="G139" i="3" s="1"/>
  <c r="AN126" i="25"/>
  <c r="AN130" i="25" s="1"/>
  <c r="I24" i="25"/>
  <c r="R108" i="25"/>
  <c r="R131" i="25" s="1"/>
  <c r="H40" i="25"/>
  <c r="Q41" i="25"/>
  <c r="Q57" i="25" s="1"/>
  <c r="T8" i="25"/>
  <c r="E8" i="25" s="1"/>
  <c r="F8" i="25" s="1"/>
  <c r="T16" i="25"/>
  <c r="X16" i="25"/>
  <c r="H14" i="25"/>
  <c r="G14" i="3" s="1"/>
  <c r="I27" i="25"/>
  <c r="I43" i="25"/>
  <c r="F8" i="3"/>
  <c r="F14" i="3"/>
  <c r="G22" i="3"/>
  <c r="G10" i="25"/>
  <c r="Q16" i="25"/>
  <c r="U16" i="25"/>
  <c r="I12" i="25"/>
  <c r="E14" i="25"/>
  <c r="F14" i="25" s="1"/>
  <c r="I26" i="25"/>
  <c r="AD46" i="25"/>
  <c r="AD57" i="25" s="1"/>
  <c r="AD110" i="25" s="1"/>
  <c r="AJ46" i="25"/>
  <c r="AA131" i="25"/>
  <c r="I113" i="25"/>
  <c r="Y16" i="25"/>
  <c r="Y33" i="25" s="1"/>
  <c r="Y109" i="25" s="1"/>
  <c r="AB46" i="25"/>
  <c r="AB57" i="25" s="1"/>
  <c r="AB110" i="25" s="1"/>
  <c r="C12" i="3"/>
  <c r="G21" i="3"/>
  <c r="H7" i="25"/>
  <c r="D7" i="25"/>
  <c r="D9" i="25" s="1"/>
  <c r="S16" i="25"/>
  <c r="D13" i="25"/>
  <c r="AG16" i="25"/>
  <c r="AG33" i="25" s="1"/>
  <c r="AG109" i="25" s="1"/>
  <c r="E15" i="25"/>
  <c r="D15" i="3" s="1"/>
  <c r="H15" i="25"/>
  <c r="G15" i="3" s="1"/>
  <c r="AB15" i="25"/>
  <c r="F100" i="25"/>
  <c r="I100" i="25"/>
  <c r="C11" i="3"/>
  <c r="D10" i="25"/>
  <c r="C10" i="3" s="1"/>
  <c r="B11" i="2" s="1"/>
  <c r="E11" i="25"/>
  <c r="F11" i="25" s="1"/>
  <c r="F12" i="25"/>
  <c r="H13" i="25"/>
  <c r="G13" i="3" s="1"/>
  <c r="E13" i="25"/>
  <c r="G15" i="25"/>
  <c r="H23" i="25"/>
  <c r="G23" i="3" s="1"/>
  <c r="I29" i="25"/>
  <c r="S32" i="25"/>
  <c r="I36" i="25"/>
  <c r="M108" i="25"/>
  <c r="M131" i="25" s="1"/>
  <c r="AE108" i="25"/>
  <c r="AE131" i="25" s="1"/>
  <c r="E10" i="25"/>
  <c r="H10" i="25"/>
  <c r="G10" i="3" s="1"/>
  <c r="F11" i="2" s="1"/>
  <c r="AJ16" i="25"/>
  <c r="AJ33" i="25" s="1"/>
  <c r="AJ109" i="25" s="1"/>
  <c r="F29" i="25"/>
  <c r="F36" i="25"/>
  <c r="N57" i="25"/>
  <c r="N110" i="25" s="1"/>
  <c r="F43" i="25"/>
  <c r="T57" i="25"/>
  <c r="T110" i="25" s="1"/>
  <c r="F94" i="25"/>
  <c r="I94" i="25"/>
  <c r="G117" i="25"/>
  <c r="G126" i="25" s="1"/>
  <c r="G130" i="25" s="1"/>
  <c r="AK131" i="25"/>
  <c r="E117" i="25"/>
  <c r="E126" i="25" s="1"/>
  <c r="E130" i="25" s="1"/>
  <c r="G7" i="25"/>
  <c r="G9" i="25" s="1"/>
  <c r="X9" i="25"/>
  <c r="L16" i="25"/>
  <c r="I21" i="25"/>
  <c r="K33" i="25"/>
  <c r="K109" i="25" s="1"/>
  <c r="AA33" i="25"/>
  <c r="AN33" i="25"/>
  <c r="AN109" i="25" s="1"/>
  <c r="X108" i="25"/>
  <c r="X131" i="25" s="1"/>
  <c r="G12" i="3"/>
  <c r="H12" i="3" s="1"/>
  <c r="Q9" i="25"/>
  <c r="R16" i="25"/>
  <c r="N33" i="25"/>
  <c r="N109" i="25" s="1"/>
  <c r="V33" i="25"/>
  <c r="V109" i="25" s="1"/>
  <c r="AD33" i="25"/>
  <c r="AD109" i="25" s="1"/>
  <c r="AL33" i="25"/>
  <c r="AL109" i="25" s="1"/>
  <c r="AO33" i="25"/>
  <c r="AM108" i="25"/>
  <c r="AM131" i="25" s="1"/>
  <c r="S131" i="25"/>
  <c r="R7" i="25"/>
  <c r="R9" i="25" s="1"/>
  <c r="H11" i="25"/>
  <c r="I11" i="25" s="1"/>
  <c r="P16" i="25"/>
  <c r="P33" i="25" s="1"/>
  <c r="P109" i="25" s="1"/>
  <c r="E23" i="25"/>
  <c r="E32" i="25" s="1"/>
  <c r="AJ41" i="25"/>
  <c r="AE46" i="25"/>
  <c r="AE57" i="25" s="1"/>
  <c r="AE110" i="25" s="1"/>
  <c r="D114" i="25"/>
  <c r="F114" i="25" s="1"/>
  <c r="L117" i="25"/>
  <c r="L126" i="25" s="1"/>
  <c r="L130" i="25" s="1"/>
  <c r="AM41" i="25"/>
  <c r="AM57" i="25" s="1"/>
  <c r="S41" i="25"/>
  <c r="S57" i="25" s="1"/>
  <c r="D12" i="3"/>
  <c r="AK41" i="25"/>
  <c r="AK57" i="25" s="1"/>
  <c r="AC46" i="25"/>
  <c r="AC57" i="25" s="1"/>
  <c r="AC110" i="25" s="1"/>
  <c r="AJ108" i="25"/>
  <c r="AJ131" i="25" s="1"/>
  <c r="E39" i="18"/>
  <c r="F39" i="18"/>
  <c r="C132" i="3"/>
  <c r="G14" i="18"/>
  <c r="F20" i="18"/>
  <c r="E56" i="18"/>
  <c r="C62" i="3"/>
  <c r="D22" i="18"/>
  <c r="D39" i="18" s="1"/>
  <c r="F56" i="18"/>
  <c r="C71" i="3"/>
  <c r="E14" i="18"/>
  <c r="G56" i="18"/>
  <c r="G132" i="3"/>
  <c r="D56" i="18"/>
  <c r="E109" i="15"/>
  <c r="F109" i="15" s="1"/>
  <c r="G33" i="15"/>
  <c r="F57" i="15"/>
  <c r="G58" i="15"/>
  <c r="G64" i="15" s="1"/>
  <c r="G109" i="15"/>
  <c r="I109" i="15" s="1"/>
  <c r="D110" i="15"/>
  <c r="I57" i="15"/>
  <c r="E131" i="15"/>
  <c r="E110" i="15"/>
  <c r="F110" i="15" s="1"/>
  <c r="F16" i="15"/>
  <c r="F58" i="15" s="1"/>
  <c r="F64" i="15" s="1"/>
  <c r="F108" i="15"/>
  <c r="H58" i="15"/>
  <c r="H64" i="15" s="1"/>
  <c r="D122" i="15"/>
  <c r="G122" i="15" s="1"/>
  <c r="G121" i="15" s="1"/>
  <c r="I121" i="15" s="1"/>
  <c r="G57" i="15"/>
  <c r="G110" i="15" s="1"/>
  <c r="I110" i="15" s="1"/>
  <c r="E58" i="15"/>
  <c r="E64" i="15" s="1"/>
  <c r="G108" i="15"/>
  <c r="I13" i="15"/>
  <c r="I16" i="15" s="1"/>
  <c r="D57" i="15"/>
  <c r="D108" i="15"/>
  <c r="H108" i="15"/>
  <c r="F16" i="14"/>
  <c r="F108" i="14"/>
  <c r="G110" i="14"/>
  <c r="E58" i="14"/>
  <c r="E64" i="14" s="1"/>
  <c r="H110" i="14"/>
  <c r="I110" i="14" s="1"/>
  <c r="I108" i="14"/>
  <c r="G126" i="14"/>
  <c r="G130" i="14" s="1"/>
  <c r="G134" i="14" s="1"/>
  <c r="E33" i="14"/>
  <c r="E109" i="14" s="1"/>
  <c r="F57" i="14"/>
  <c r="D110" i="14"/>
  <c r="F126" i="14"/>
  <c r="I57" i="14"/>
  <c r="H58" i="14"/>
  <c r="H64" i="14" s="1"/>
  <c r="H109" i="14"/>
  <c r="E110" i="14"/>
  <c r="F110" i="14" s="1"/>
  <c r="D126" i="14"/>
  <c r="D130" i="14" s="1"/>
  <c r="D134" i="14" s="1"/>
  <c r="F122" i="14"/>
  <c r="F130" i="14"/>
  <c r="F134" i="14" s="1"/>
  <c r="D16" i="14"/>
  <c r="E108" i="14"/>
  <c r="G7" i="14"/>
  <c r="I8" i="14"/>
  <c r="G108" i="14"/>
  <c r="I121" i="14"/>
  <c r="I126" i="14" s="1"/>
  <c r="I130" i="14" s="1"/>
  <c r="I134" i="14" s="1"/>
  <c r="D7" i="14"/>
  <c r="D108" i="14"/>
  <c r="H108" i="14"/>
  <c r="H117" i="14"/>
  <c r="H126" i="14" s="1"/>
  <c r="H130" i="14" s="1"/>
  <c r="H134" i="14" s="1"/>
  <c r="I108" i="13"/>
  <c r="I33" i="13"/>
  <c r="F109" i="13"/>
  <c r="I58" i="13"/>
  <c r="I64" i="13" s="1"/>
  <c r="I57" i="13"/>
  <c r="H131" i="13"/>
  <c r="H136" i="13" s="1"/>
  <c r="H133" i="13"/>
  <c r="F130" i="13"/>
  <c r="F134" i="13" s="1"/>
  <c r="I126" i="13"/>
  <c r="G131" i="13"/>
  <c r="G136" i="13" s="1"/>
  <c r="G133" i="13"/>
  <c r="F108" i="13"/>
  <c r="F33" i="13"/>
  <c r="F57" i="13"/>
  <c r="F58" i="13"/>
  <c r="F64" i="13" s="1"/>
  <c r="G109" i="13"/>
  <c r="I109" i="13" s="1"/>
  <c r="D110" i="13"/>
  <c r="I130" i="13"/>
  <c r="I134" i="13" s="1"/>
  <c r="G110" i="13"/>
  <c r="D108" i="13"/>
  <c r="H110" i="13"/>
  <c r="I110" i="13" s="1"/>
  <c r="E57" i="13"/>
  <c r="E110" i="13" s="1"/>
  <c r="F110" i="13" s="1"/>
  <c r="E108" i="13"/>
  <c r="I121" i="13"/>
  <c r="F33" i="12"/>
  <c r="D133" i="12"/>
  <c r="D131" i="12"/>
  <c r="D136" i="12" s="1"/>
  <c r="F108" i="12"/>
  <c r="H110" i="12"/>
  <c r="I110" i="12" s="1"/>
  <c r="F58" i="12"/>
  <c r="F64" i="12" s="1"/>
  <c r="F57" i="12"/>
  <c r="E133" i="12"/>
  <c r="E131" i="12"/>
  <c r="E136" i="12" s="1"/>
  <c r="F110" i="12"/>
  <c r="I122" i="12"/>
  <c r="D126" i="12"/>
  <c r="D130" i="12" s="1"/>
  <c r="D134" i="12" s="1"/>
  <c r="I41" i="12"/>
  <c r="I57" i="12" s="1"/>
  <c r="H108" i="12"/>
  <c r="H131" i="12" s="1"/>
  <c r="D110" i="12"/>
  <c r="F122" i="12"/>
  <c r="F126" i="12" s="1"/>
  <c r="F130" i="12" s="1"/>
  <c r="F134" i="12" s="1"/>
  <c r="E33" i="12"/>
  <c r="E109" i="12" s="1"/>
  <c r="F109" i="12" s="1"/>
  <c r="G108" i="12"/>
  <c r="I33" i="11"/>
  <c r="E109" i="11"/>
  <c r="F109" i="11" s="1"/>
  <c r="H110" i="11"/>
  <c r="I110" i="11" s="1"/>
  <c r="I108" i="11"/>
  <c r="F108" i="11"/>
  <c r="F130" i="11"/>
  <c r="F134" i="11" s="1"/>
  <c r="F33" i="11"/>
  <c r="F58" i="11"/>
  <c r="F64" i="11" s="1"/>
  <c r="F57" i="11"/>
  <c r="G109" i="11"/>
  <c r="D131" i="11"/>
  <c r="D136" i="11" s="1"/>
  <c r="D133" i="11"/>
  <c r="I58" i="11"/>
  <c r="I64" i="11" s="1"/>
  <c r="I57" i="11"/>
  <c r="H109" i="11"/>
  <c r="I109" i="11" s="1"/>
  <c r="I126" i="11"/>
  <c r="I130" i="11" s="1"/>
  <c r="I134" i="11" s="1"/>
  <c r="H108" i="11"/>
  <c r="D110" i="11"/>
  <c r="D126" i="11"/>
  <c r="D130" i="11" s="1"/>
  <c r="D134" i="11" s="1"/>
  <c r="E57" i="11"/>
  <c r="E110" i="11" s="1"/>
  <c r="F110" i="11" s="1"/>
  <c r="G58" i="11"/>
  <c r="G64" i="11" s="1"/>
  <c r="E108" i="11"/>
  <c r="I122" i="11"/>
  <c r="G108" i="11"/>
  <c r="F57" i="10"/>
  <c r="F58" i="10"/>
  <c r="F64" i="10" s="1"/>
  <c r="G58" i="10"/>
  <c r="G64" i="10" s="1"/>
  <c r="G109" i="10"/>
  <c r="H109" i="10"/>
  <c r="I108" i="10"/>
  <c r="D109" i="10"/>
  <c r="F109" i="10" s="1"/>
  <c r="G110" i="10"/>
  <c r="F108" i="10"/>
  <c r="G126" i="10"/>
  <c r="G130" i="10" s="1"/>
  <c r="G134" i="10" s="1"/>
  <c r="I57" i="10"/>
  <c r="H110" i="10"/>
  <c r="I110" i="10" s="1"/>
  <c r="D110" i="10"/>
  <c r="F110" i="10" s="1"/>
  <c r="F130" i="10"/>
  <c r="F134" i="10" s="1"/>
  <c r="E58" i="10"/>
  <c r="E64" i="10" s="1"/>
  <c r="G108" i="10"/>
  <c r="D108" i="10"/>
  <c r="H108" i="10"/>
  <c r="I113" i="10"/>
  <c r="I117" i="10" s="1"/>
  <c r="I126" i="10" s="1"/>
  <c r="I130" i="10" s="1"/>
  <c r="I134" i="10" s="1"/>
  <c r="I15" i="10"/>
  <c r="I16" i="10" s="1"/>
  <c r="I58" i="10" s="1"/>
  <c r="I64" i="10" s="1"/>
  <c r="E108" i="10"/>
  <c r="I33" i="9"/>
  <c r="G121" i="9"/>
  <c r="I121" i="9" s="1"/>
  <c r="I126" i="9" s="1"/>
  <c r="I130" i="9" s="1"/>
  <c r="I134" i="9" s="1"/>
  <c r="I122" i="9"/>
  <c r="E109" i="9"/>
  <c r="F16" i="9"/>
  <c r="F33" i="9" s="1"/>
  <c r="I58" i="9"/>
  <c r="I64" i="9" s="1"/>
  <c r="I57" i="9"/>
  <c r="H109" i="9"/>
  <c r="I109" i="9" s="1"/>
  <c r="G109" i="9"/>
  <c r="F57" i="9"/>
  <c r="F58" i="9"/>
  <c r="F64" i="9" s="1"/>
  <c r="F108" i="9"/>
  <c r="G110" i="9"/>
  <c r="G126" i="9"/>
  <c r="G130" i="9" s="1"/>
  <c r="G134" i="9" s="1"/>
  <c r="F130" i="9"/>
  <c r="F134" i="9" s="1"/>
  <c r="D58" i="9"/>
  <c r="D64" i="9" s="1"/>
  <c r="D74" i="9"/>
  <c r="D108" i="9" s="1"/>
  <c r="H57" i="9"/>
  <c r="H110" i="9" s="1"/>
  <c r="I110" i="9" s="1"/>
  <c r="D94" i="9"/>
  <c r="H108" i="9"/>
  <c r="E126" i="9"/>
  <c r="E130" i="9" s="1"/>
  <c r="E134" i="9" s="1"/>
  <c r="E57" i="9"/>
  <c r="E110" i="9" s="1"/>
  <c r="F110" i="9" s="1"/>
  <c r="G58" i="9"/>
  <c r="G64" i="9" s="1"/>
  <c r="I73" i="9"/>
  <c r="I74" i="9" s="1"/>
  <c r="I84" i="9"/>
  <c r="I94" i="9" s="1"/>
  <c r="I108" i="9" s="1"/>
  <c r="E108" i="9"/>
  <c r="C102" i="3"/>
  <c r="E102" i="3" s="1"/>
  <c r="G108" i="9"/>
  <c r="D34" i="3"/>
  <c r="C43" i="3"/>
  <c r="C44" i="3"/>
  <c r="E44" i="3" s="1"/>
  <c r="D7" i="8"/>
  <c r="D9" i="8" s="1"/>
  <c r="I26" i="8"/>
  <c r="E53" i="3"/>
  <c r="F69" i="8"/>
  <c r="F71" i="8"/>
  <c r="F73" i="8"/>
  <c r="F85" i="8"/>
  <c r="F86" i="8"/>
  <c r="G86" i="8"/>
  <c r="F104" i="3" s="1"/>
  <c r="H104" i="3" s="1"/>
  <c r="F10" i="8"/>
  <c r="AH33" i="8"/>
  <c r="F25" i="8"/>
  <c r="F27" i="8"/>
  <c r="AE16" i="8"/>
  <c r="E52" i="3"/>
  <c r="F54" i="8"/>
  <c r="D56" i="3"/>
  <c r="C17" i="2" s="1"/>
  <c r="H18" i="3"/>
  <c r="I24" i="8"/>
  <c r="I54" i="8"/>
  <c r="I70" i="8"/>
  <c r="G34" i="3"/>
  <c r="F62" i="8"/>
  <c r="I90" i="8"/>
  <c r="I91" i="8"/>
  <c r="I92" i="8"/>
  <c r="H90" i="3"/>
  <c r="F44" i="3"/>
  <c r="H44" i="3" s="1"/>
  <c r="C25" i="3"/>
  <c r="E25" i="3" s="1"/>
  <c r="E22" i="3"/>
  <c r="E24" i="3"/>
  <c r="I36" i="8"/>
  <c r="H39" i="3"/>
  <c r="I48" i="8"/>
  <c r="I52" i="8"/>
  <c r="I53" i="8"/>
  <c r="I59" i="8"/>
  <c r="E94" i="8"/>
  <c r="F88" i="8"/>
  <c r="D42" i="3"/>
  <c r="G120" i="3"/>
  <c r="H120" i="3" s="1"/>
  <c r="F35" i="3"/>
  <c r="F89" i="8"/>
  <c r="F93" i="8"/>
  <c r="C27" i="3"/>
  <c r="E27" i="3" s="1"/>
  <c r="D87" i="3"/>
  <c r="E87" i="3" s="1"/>
  <c r="D139" i="3"/>
  <c r="D142" i="3" s="1"/>
  <c r="C116" i="3"/>
  <c r="F38" i="3"/>
  <c r="H38" i="3" s="1"/>
  <c r="G15" i="8"/>
  <c r="I15" i="8" s="1"/>
  <c r="I22" i="8"/>
  <c r="F34" i="8"/>
  <c r="F37" i="8"/>
  <c r="F38" i="8"/>
  <c r="I42" i="8"/>
  <c r="F48" i="8"/>
  <c r="E49" i="3"/>
  <c r="F50" i="8"/>
  <c r="I68" i="8"/>
  <c r="I72" i="8"/>
  <c r="F98" i="8"/>
  <c r="F112" i="8"/>
  <c r="I50" i="8"/>
  <c r="F48" i="3"/>
  <c r="H48" i="3" s="1"/>
  <c r="E51" i="3"/>
  <c r="D89" i="3"/>
  <c r="E89" i="3" s="1"/>
  <c r="D103" i="3"/>
  <c r="E103" i="3" s="1"/>
  <c r="C114" i="3"/>
  <c r="E114" i="3" s="1"/>
  <c r="I31" i="8"/>
  <c r="F42" i="8"/>
  <c r="F43" i="8"/>
  <c r="F45" i="8"/>
  <c r="F55" i="8"/>
  <c r="E73" i="3"/>
  <c r="I106" i="8"/>
  <c r="I112" i="8"/>
  <c r="F19" i="8"/>
  <c r="F20" i="8"/>
  <c r="F24" i="8"/>
  <c r="D29" i="8"/>
  <c r="C29" i="3" s="1"/>
  <c r="E29" i="3" s="1"/>
  <c r="F36" i="8"/>
  <c r="F87" i="8"/>
  <c r="I101" i="8"/>
  <c r="I104" i="8"/>
  <c r="F88" i="3"/>
  <c r="H88" i="3" s="1"/>
  <c r="D101" i="3"/>
  <c r="E101" i="3" s="1"/>
  <c r="C48" i="3"/>
  <c r="E48" i="3" s="1"/>
  <c r="F52" i="3"/>
  <c r="H52" i="3" s="1"/>
  <c r="F53" i="3"/>
  <c r="H53" i="3" s="1"/>
  <c r="H89" i="3"/>
  <c r="E95" i="3"/>
  <c r="C106" i="3"/>
  <c r="E106" i="3" s="1"/>
  <c r="G110" i="3"/>
  <c r="H110" i="3" s="1"/>
  <c r="D116" i="3"/>
  <c r="E9" i="8"/>
  <c r="F8" i="8"/>
  <c r="E16" i="8"/>
  <c r="G13" i="8"/>
  <c r="I13" i="8" s="1"/>
  <c r="D15" i="8"/>
  <c r="I17" i="8"/>
  <c r="F28" i="8"/>
  <c r="I49" i="8"/>
  <c r="F51" i="8"/>
  <c r="F52" i="8"/>
  <c r="F53" i="8"/>
  <c r="I79" i="8"/>
  <c r="I81" i="8"/>
  <c r="H94" i="8"/>
  <c r="I84" i="8"/>
  <c r="F91" i="8"/>
  <c r="I96" i="8"/>
  <c r="F101" i="8"/>
  <c r="H17" i="3"/>
  <c r="G26" i="3"/>
  <c r="H26" i="3" s="1"/>
  <c r="C34" i="3"/>
  <c r="D104" i="3"/>
  <c r="E104" i="3" s="1"/>
  <c r="G108" i="3"/>
  <c r="H108" i="3" s="1"/>
  <c r="G109" i="3"/>
  <c r="H109" i="3" s="1"/>
  <c r="D113" i="3"/>
  <c r="F124" i="3"/>
  <c r="H124" i="3" s="1"/>
  <c r="C50" i="3"/>
  <c r="E50" i="3" s="1"/>
  <c r="AD16" i="8"/>
  <c r="AD58" i="8" s="1"/>
  <c r="AD64" i="8" s="1"/>
  <c r="I28" i="8"/>
  <c r="G29" i="8"/>
  <c r="F29" i="3" s="1"/>
  <c r="F31" i="8"/>
  <c r="I35" i="8"/>
  <c r="I44" i="8"/>
  <c r="H56" i="8"/>
  <c r="F60" i="8"/>
  <c r="F77" i="8"/>
  <c r="F78" i="8"/>
  <c r="I87" i="8"/>
  <c r="I89" i="8"/>
  <c r="F96" i="8"/>
  <c r="F97" i="8"/>
  <c r="I98" i="8"/>
  <c r="D113" i="8"/>
  <c r="F113" i="8" s="1"/>
  <c r="F116" i="8"/>
  <c r="H24" i="3"/>
  <c r="H50" i="3"/>
  <c r="H27" i="3"/>
  <c r="F30" i="8"/>
  <c r="F35" i="8"/>
  <c r="F44" i="8"/>
  <c r="I45" i="8"/>
  <c r="F49" i="8"/>
  <c r="E63" i="8"/>
  <c r="I88" i="8"/>
  <c r="I111" i="8"/>
  <c r="E55" i="3"/>
  <c r="E43" i="3"/>
  <c r="AE33" i="8"/>
  <c r="J16" i="8"/>
  <c r="J33" i="8" s="1"/>
  <c r="J109" i="8" s="1"/>
  <c r="M33" i="8"/>
  <c r="M109" i="8" s="1"/>
  <c r="R33" i="8"/>
  <c r="Z16" i="8"/>
  <c r="Z33" i="8" s="1"/>
  <c r="E26" i="3"/>
  <c r="F40" i="8"/>
  <c r="H51" i="3"/>
  <c r="F59" i="8"/>
  <c r="I60" i="8"/>
  <c r="F70" i="8"/>
  <c r="I71" i="8"/>
  <c r="H74" i="8"/>
  <c r="F84" i="8"/>
  <c r="G100" i="8"/>
  <c r="F115" i="8"/>
  <c r="H49" i="3"/>
  <c r="H105" i="3"/>
  <c r="E109" i="3"/>
  <c r="F12" i="8"/>
  <c r="I25" i="8"/>
  <c r="I30" i="8"/>
  <c r="I34" i="8"/>
  <c r="I43" i="8"/>
  <c r="H46" i="8"/>
  <c r="J57" i="8"/>
  <c r="H63" i="8"/>
  <c r="D74" i="8"/>
  <c r="F90" i="8"/>
  <c r="F111" i="8"/>
  <c r="E18" i="3"/>
  <c r="AC33" i="8"/>
  <c r="AF33" i="8"/>
  <c r="AP33" i="8"/>
  <c r="AS33" i="8"/>
  <c r="AX33" i="8"/>
  <c r="F17" i="8"/>
  <c r="F18" i="8"/>
  <c r="E56" i="8"/>
  <c r="E57" i="8" s="1"/>
  <c r="K57" i="8"/>
  <c r="D63" i="8"/>
  <c r="I61" i="8"/>
  <c r="I62" i="8"/>
  <c r="F68" i="8"/>
  <c r="I77" i="8"/>
  <c r="AY1" i="8"/>
  <c r="AS1" i="8"/>
  <c r="AS2" i="8"/>
  <c r="AY2" i="8"/>
  <c r="I99" i="8"/>
  <c r="G117" i="3"/>
  <c r="H117" i="3" s="1"/>
  <c r="H111" i="3"/>
  <c r="F10" i="3"/>
  <c r="I10" i="8"/>
  <c r="P33" i="8"/>
  <c r="S33" i="8"/>
  <c r="X33" i="8"/>
  <c r="AA33" i="8"/>
  <c r="AI33" i="8"/>
  <c r="AN33" i="8"/>
  <c r="AQ33" i="8"/>
  <c r="AV33" i="8"/>
  <c r="AY33" i="8"/>
  <c r="F26" i="8"/>
  <c r="AW33" i="8"/>
  <c r="D56" i="8"/>
  <c r="F47" i="8"/>
  <c r="G74" i="8"/>
  <c r="D100" i="8"/>
  <c r="F95" i="8"/>
  <c r="C113" i="3"/>
  <c r="D14" i="8"/>
  <c r="G46" i="8"/>
  <c r="I85" i="8"/>
  <c r="F103" i="3"/>
  <c r="H103" i="3" s="1"/>
  <c r="G7" i="3"/>
  <c r="D88" i="3"/>
  <c r="E88" i="3" s="1"/>
  <c r="H16" i="8"/>
  <c r="H29" i="8"/>
  <c r="H32" i="8" s="1"/>
  <c r="D46" i="8"/>
  <c r="N57" i="8"/>
  <c r="N58" i="8"/>
  <c r="N64" i="8" s="1"/>
  <c r="R58" i="8"/>
  <c r="R64" i="8" s="1"/>
  <c r="R57" i="8"/>
  <c r="V58" i="8"/>
  <c r="V64" i="8" s="1"/>
  <c r="V57" i="8"/>
  <c r="Z57" i="8"/>
  <c r="AD57" i="8"/>
  <c r="AH57" i="8"/>
  <c r="AH58" i="8"/>
  <c r="AH64" i="8" s="1"/>
  <c r="AL57" i="8"/>
  <c r="AL58" i="8"/>
  <c r="AL64" i="8" s="1"/>
  <c r="AP58" i="8"/>
  <c r="AP64" i="8" s="1"/>
  <c r="AP57" i="8"/>
  <c r="AT57" i="8"/>
  <c r="AT58" i="8"/>
  <c r="AT64" i="8" s="1"/>
  <c r="AX57" i="8"/>
  <c r="AX58" i="8"/>
  <c r="AX64" i="8" s="1"/>
  <c r="G63" i="8"/>
  <c r="I69" i="8"/>
  <c r="F72" i="8"/>
  <c r="D90" i="3"/>
  <c r="E90" i="3" s="1"/>
  <c r="I73" i="8"/>
  <c r="D110" i="3"/>
  <c r="E110" i="3" s="1"/>
  <c r="F92" i="8"/>
  <c r="I93" i="8"/>
  <c r="I97" i="8"/>
  <c r="G115" i="3"/>
  <c r="H115" i="3" s="1"/>
  <c r="F99" i="8"/>
  <c r="H55" i="3"/>
  <c r="AB16" i="8"/>
  <c r="AB33" i="8" s="1"/>
  <c r="D13" i="8"/>
  <c r="H100" i="8"/>
  <c r="I95" i="8"/>
  <c r="H25" i="3"/>
  <c r="E17" i="3"/>
  <c r="F34" i="3"/>
  <c r="E36" i="3"/>
  <c r="G47" i="3"/>
  <c r="G56" i="3" s="1"/>
  <c r="F17" i="2" s="1"/>
  <c r="H87" i="3"/>
  <c r="G106" i="3"/>
  <c r="H106" i="3" s="1"/>
  <c r="H107" i="3"/>
  <c r="F11" i="8"/>
  <c r="AG33" i="8"/>
  <c r="I18" i="8"/>
  <c r="I27" i="8"/>
  <c r="G56" i="8"/>
  <c r="I47" i="8"/>
  <c r="I51" i="8"/>
  <c r="I55" i="8"/>
  <c r="E74" i="8"/>
  <c r="I83" i="8"/>
  <c r="F101" i="3"/>
  <c r="H101" i="3" s="1"/>
  <c r="E105" i="3"/>
  <c r="E121" i="3"/>
  <c r="C115" i="3"/>
  <c r="E115" i="3" s="1"/>
  <c r="N33" i="8"/>
  <c r="N109" i="8" s="1"/>
  <c r="Q33" i="8"/>
  <c r="V33" i="8"/>
  <c r="Y33" i="8"/>
  <c r="AL33" i="8"/>
  <c r="AO33" i="8"/>
  <c r="AT33" i="8"/>
  <c r="I21" i="8"/>
  <c r="AJ58" i="8"/>
  <c r="AJ64" i="8" s="1"/>
  <c r="AJ33" i="8"/>
  <c r="O57" i="8"/>
  <c r="O58" i="8"/>
  <c r="O64" i="8" s="1"/>
  <c r="S57" i="8"/>
  <c r="S58" i="8"/>
  <c r="S64" i="8" s="1"/>
  <c r="W58" i="8"/>
  <c r="W64" i="8" s="1"/>
  <c r="W57" i="8"/>
  <c r="AA58" i="8"/>
  <c r="AA64" i="8" s="1"/>
  <c r="AA57" i="8"/>
  <c r="AE57" i="8"/>
  <c r="AE58" i="8"/>
  <c r="AE64" i="8" s="1"/>
  <c r="AI57" i="8"/>
  <c r="AI58" i="8"/>
  <c r="AI64" i="8" s="1"/>
  <c r="AM58" i="8"/>
  <c r="AM64" i="8" s="1"/>
  <c r="AM57" i="8"/>
  <c r="AQ57" i="8"/>
  <c r="AQ58" i="8"/>
  <c r="AQ64" i="8" s="1"/>
  <c r="AU57" i="8"/>
  <c r="AU58" i="8"/>
  <c r="AU64" i="8" s="1"/>
  <c r="AY58" i="8"/>
  <c r="AY64" i="8" s="1"/>
  <c r="AY57" i="8"/>
  <c r="F61" i="8"/>
  <c r="F103" i="8"/>
  <c r="F105" i="8"/>
  <c r="F106" i="8"/>
  <c r="E107" i="3"/>
  <c r="E123" i="3"/>
  <c r="F36" i="3"/>
  <c r="H36" i="3" s="1"/>
  <c r="G42" i="3"/>
  <c r="G46" i="3" s="1"/>
  <c r="F16" i="2" s="1"/>
  <c r="F43" i="3"/>
  <c r="H43" i="3" s="1"/>
  <c r="L33" i="8"/>
  <c r="L109" i="8" s="1"/>
  <c r="O33" i="8"/>
  <c r="O109" i="8" s="1"/>
  <c r="T33" i="8"/>
  <c r="W33" i="8"/>
  <c r="AM33" i="8"/>
  <c r="AR33" i="8"/>
  <c r="AU33" i="8"/>
  <c r="F21" i="8"/>
  <c r="AK33" i="8"/>
  <c r="I37" i="8"/>
  <c r="I38" i="8"/>
  <c r="I39" i="8"/>
  <c r="I40" i="8"/>
  <c r="L57" i="8"/>
  <c r="L58" i="8"/>
  <c r="L64" i="8" s="1"/>
  <c r="P58" i="8"/>
  <c r="P64" i="8" s="1"/>
  <c r="P57" i="8"/>
  <c r="T57" i="8"/>
  <c r="T58" i="8"/>
  <c r="T64" i="8" s="1"/>
  <c r="X57" i="8"/>
  <c r="X58" i="8"/>
  <c r="X64" i="8" s="1"/>
  <c r="AB57" i="8"/>
  <c r="AF58" i="8"/>
  <c r="AF64" i="8" s="1"/>
  <c r="AF57" i="8"/>
  <c r="AJ57" i="8"/>
  <c r="AN58" i="8"/>
  <c r="AN64" i="8" s="1"/>
  <c r="AN57" i="8"/>
  <c r="AR57" i="8"/>
  <c r="AR58" i="8"/>
  <c r="AR64" i="8" s="1"/>
  <c r="AV58" i="8"/>
  <c r="AV64" i="8" s="1"/>
  <c r="AV57" i="8"/>
  <c r="M57" i="8"/>
  <c r="M58" i="8"/>
  <c r="M64" i="8" s="1"/>
  <c r="Q58" i="8"/>
  <c r="Q64" i="8" s="1"/>
  <c r="Q57" i="8"/>
  <c r="U57" i="8"/>
  <c r="Y57" i="8"/>
  <c r="Y58" i="8"/>
  <c r="Y64" i="8" s="1"/>
  <c r="AC58" i="8"/>
  <c r="AC64" i="8" s="1"/>
  <c r="AC57" i="8"/>
  <c r="AG57" i="8"/>
  <c r="AG58" i="8"/>
  <c r="AG64" i="8" s="1"/>
  <c r="AK57" i="8"/>
  <c r="AK58" i="8"/>
  <c r="AK64" i="8" s="1"/>
  <c r="AO57" i="8"/>
  <c r="AO58" i="8"/>
  <c r="AO64" i="8" s="1"/>
  <c r="AS57" i="8"/>
  <c r="AS58" i="8"/>
  <c r="AS64" i="8" s="1"/>
  <c r="AW57" i="8"/>
  <c r="AW58" i="8"/>
  <c r="AW64" i="8" s="1"/>
  <c r="F83" i="8"/>
  <c r="H123" i="3"/>
  <c r="F138" i="3"/>
  <c r="I113" i="8"/>
  <c r="I117" i="8" s="1"/>
  <c r="G117" i="8"/>
  <c r="K117" i="8"/>
  <c r="F20" i="3"/>
  <c r="R41" i="25"/>
  <c r="R57" i="25" s="1"/>
  <c r="R110" i="25" s="1"/>
  <c r="Z46" i="25"/>
  <c r="Z57" i="25" s="1"/>
  <c r="Z110" i="25" s="1"/>
  <c r="D42" i="25"/>
  <c r="G42" i="25"/>
  <c r="W46" i="25"/>
  <c r="W57" i="25" s="1"/>
  <c r="F55" i="6"/>
  <c r="Y40" i="25" s="1"/>
  <c r="G40" i="25" s="1"/>
  <c r="I40" i="25" s="1"/>
  <c r="Y37" i="25"/>
  <c r="F37" i="6"/>
  <c r="F37" i="3" s="1"/>
  <c r="X37" i="25"/>
  <c r="D55" i="6"/>
  <c r="X40" i="25" s="1"/>
  <c r="D40" i="25" s="1"/>
  <c r="E35" i="25"/>
  <c r="L41" i="25"/>
  <c r="L57" i="25" s="1"/>
  <c r="L110" i="25" s="1"/>
  <c r="E37" i="25"/>
  <c r="P41" i="25"/>
  <c r="P57" i="25" s="1"/>
  <c r="P110" i="25" s="1"/>
  <c r="M41" i="25"/>
  <c r="M57" i="25" s="1"/>
  <c r="H35" i="25"/>
  <c r="V46" i="25"/>
  <c r="V57" i="25" s="1"/>
  <c r="V110" i="25" s="1"/>
  <c r="AO41" i="25"/>
  <c r="E52" i="6"/>
  <c r="J40" i="25" s="1"/>
  <c r="J41" i="25" s="1"/>
  <c r="AL35" i="25"/>
  <c r="AL41" i="25" s="1"/>
  <c r="K37" i="25"/>
  <c r="AN40" i="25"/>
  <c r="AN41" i="25" s="1"/>
  <c r="AO42" i="25"/>
  <c r="H42" i="25" s="1"/>
  <c r="G21" i="6"/>
  <c r="G35" i="3" s="1"/>
  <c r="G37" i="6"/>
  <c r="G37" i="3" s="1"/>
  <c r="G58" i="6"/>
  <c r="D95" i="6"/>
  <c r="AH45" i="25" s="1"/>
  <c r="D45" i="25" s="1"/>
  <c r="X35" i="25"/>
  <c r="AF37" i="25"/>
  <c r="AF41" i="25" s="1"/>
  <c r="AF57" i="25" s="1"/>
  <c r="AF110" i="25" s="1"/>
  <c r="D21" i="6"/>
  <c r="C35" i="3" s="1"/>
  <c r="E35" i="3" s="1"/>
  <c r="D37" i="6"/>
  <c r="C37" i="3" s="1"/>
  <c r="F95" i="6"/>
  <c r="AI45" i="25" s="1"/>
  <c r="G45" i="25" s="1"/>
  <c r="E99" i="6"/>
  <c r="Y35" i="25"/>
  <c r="AG37" i="25"/>
  <c r="AG41" i="25" s="1"/>
  <c r="AG57" i="25" s="1"/>
  <c r="AG110" i="25" s="1"/>
  <c r="E37" i="6"/>
  <c r="D37" i="3" s="1"/>
  <c r="G99" i="6"/>
  <c r="C39" i="3"/>
  <c r="E39" i="3" s="1"/>
  <c r="AN42" i="25"/>
  <c r="D26" i="5"/>
  <c r="C91" i="3" s="1"/>
  <c r="C92" i="3" s="1"/>
  <c r="B21" i="2" s="1"/>
  <c r="G49" i="5"/>
  <c r="G50" i="5" s="1"/>
  <c r="G51" i="5" s="1"/>
  <c r="D67" i="6"/>
  <c r="D89" i="6" s="1"/>
  <c r="G113" i="3"/>
  <c r="H113" i="3" s="1"/>
  <c r="D49" i="5"/>
  <c r="D50" i="5" s="1"/>
  <c r="D51" i="5" s="1"/>
  <c r="F26" i="5"/>
  <c r="F91" i="3" s="1"/>
  <c r="F86" i="5"/>
  <c r="E86" i="5"/>
  <c r="E23" i="4"/>
  <c r="F98" i="3" s="1"/>
  <c r="H98" i="3" s="1"/>
  <c r="E50" i="4"/>
  <c r="F80" i="3" s="1"/>
  <c r="F86" i="3" s="1"/>
  <c r="E75" i="4"/>
  <c r="F82" i="3" s="1"/>
  <c r="H82" i="3" s="1"/>
  <c r="C86" i="3"/>
  <c r="E80" i="3"/>
  <c r="E86" i="3" s="1"/>
  <c r="D87" i="4"/>
  <c r="F71" i="3"/>
  <c r="F75" i="3" s="1"/>
  <c r="E19" i="2" s="1"/>
  <c r="C75" i="3"/>
  <c r="B19" i="2" s="1"/>
  <c r="D75" i="3"/>
  <c r="C19" i="2" s="1"/>
  <c r="E13" i="2"/>
  <c r="G13" i="2" s="1"/>
  <c r="H65" i="3"/>
  <c r="B13" i="2"/>
  <c r="D13" i="2" s="1"/>
  <c r="E47" i="3"/>
  <c r="E60" i="3"/>
  <c r="E62" i="3" s="1"/>
  <c r="E71" i="3" s="1"/>
  <c r="E72" i="3"/>
  <c r="E111" i="3"/>
  <c r="D26" i="2"/>
  <c r="F132" i="3"/>
  <c r="H129" i="3"/>
  <c r="H60" i="3"/>
  <c r="H72" i="3"/>
  <c r="E132" i="3"/>
  <c r="E20" i="3"/>
  <c r="H59" i="3"/>
  <c r="H73" i="3"/>
  <c r="E96" i="3"/>
  <c r="D132" i="3"/>
  <c r="H137" i="3"/>
  <c r="G62" i="3"/>
  <c r="G71" i="3" s="1"/>
  <c r="G75" i="3" s="1"/>
  <c r="F19" i="2" s="1"/>
  <c r="H130" i="3"/>
  <c r="E137" i="3"/>
  <c r="H119" i="3"/>
  <c r="E21" i="3"/>
  <c r="I107" i="25"/>
  <c r="Y108" i="25"/>
  <c r="Y131" i="25" s="1"/>
  <c r="F107" i="25"/>
  <c r="T108" i="25"/>
  <c r="T131" i="25" s="1"/>
  <c r="Z108" i="25"/>
  <c r="Z131" i="25" s="1"/>
  <c r="AA137" i="25" s="1"/>
  <c r="K108" i="25"/>
  <c r="K131" i="25" s="1"/>
  <c r="U108" i="25"/>
  <c r="U131" i="25" s="1"/>
  <c r="N108" i="25"/>
  <c r="N131" i="25" s="1"/>
  <c r="L108" i="25"/>
  <c r="AD108" i="25"/>
  <c r="AD131" i="25" s="1"/>
  <c r="AE137" i="25" s="1"/>
  <c r="E122" i="3"/>
  <c r="I102" i="8"/>
  <c r="C120" i="3"/>
  <c r="C125" i="3" s="1"/>
  <c r="B27" i="2" s="1"/>
  <c r="H121" i="3"/>
  <c r="F104" i="8"/>
  <c r="G122" i="3"/>
  <c r="H122" i="3" s="1"/>
  <c r="G107" i="8"/>
  <c r="I103" i="8"/>
  <c r="E119" i="3"/>
  <c r="D124" i="3"/>
  <c r="D125" i="3" s="1"/>
  <c r="C27" i="2" s="1"/>
  <c r="F102" i="8"/>
  <c r="E107" i="8"/>
  <c r="I105" i="8"/>
  <c r="D78" i="6"/>
  <c r="C42" i="3" s="1"/>
  <c r="AF108" i="25"/>
  <c r="AF131" i="25" s="1"/>
  <c r="E26" i="2"/>
  <c r="G26" i="2" s="1"/>
  <c r="Q74" i="25"/>
  <c r="H73" i="25"/>
  <c r="I73" i="25" s="1"/>
  <c r="D86" i="5"/>
  <c r="V108" i="25"/>
  <c r="V131" i="25" s="1"/>
  <c r="AH108" i="25"/>
  <c r="AH131" i="25" s="1"/>
  <c r="AI108" i="25"/>
  <c r="AI131" i="25" s="1"/>
  <c r="F118" i="3"/>
  <c r="E25" i="2" s="1"/>
  <c r="G19" i="5"/>
  <c r="G26" i="5" s="1"/>
  <c r="G91" i="3" s="1"/>
  <c r="E49" i="5"/>
  <c r="E50" i="5" s="1"/>
  <c r="E51" i="5" s="1"/>
  <c r="E75" i="25"/>
  <c r="C139" i="3"/>
  <c r="G75" i="25"/>
  <c r="F49" i="5"/>
  <c r="F50" i="5" s="1"/>
  <c r="F51" i="5" s="1"/>
  <c r="W75" i="25"/>
  <c r="W108" i="25" s="1"/>
  <c r="W131" i="25" s="1"/>
  <c r="D117" i="3"/>
  <c r="E117" i="3" s="1"/>
  <c r="E19" i="5"/>
  <c r="E26" i="5" s="1"/>
  <c r="F67" i="5"/>
  <c r="F139" i="3" s="1"/>
  <c r="AC108" i="25"/>
  <c r="AC131" i="25" s="1"/>
  <c r="D88" i="6"/>
  <c r="D100" i="6" s="1"/>
  <c r="E73" i="25"/>
  <c r="O108" i="25"/>
  <c r="O131" i="25" s="1"/>
  <c r="AG108" i="25"/>
  <c r="AG131" i="25" s="1"/>
  <c r="AL108" i="25"/>
  <c r="AL131" i="25" s="1"/>
  <c r="F78" i="6"/>
  <c r="F42" i="3" s="1"/>
  <c r="F88" i="6"/>
  <c r="F100" i="6" s="1"/>
  <c r="F45" i="3" s="1"/>
  <c r="D75" i="25"/>
  <c r="D108" i="25" s="1"/>
  <c r="AB108" i="25"/>
  <c r="AB131" i="25" s="1"/>
  <c r="H116" i="3"/>
  <c r="AN108" i="25"/>
  <c r="AA46" i="25"/>
  <c r="AA57" i="25" s="1"/>
  <c r="C38" i="3"/>
  <c r="E38" i="3" s="1"/>
  <c r="F39" i="8"/>
  <c r="G41" i="8"/>
  <c r="K33" i="8"/>
  <c r="K109" i="8" s="1"/>
  <c r="AC16" i="25"/>
  <c r="I14" i="8"/>
  <c r="I12" i="8"/>
  <c r="I7" i="8"/>
  <c r="I9" i="8" s="1"/>
  <c r="G9" i="8"/>
  <c r="K58" i="8"/>
  <c r="K64" i="8" s="1"/>
  <c r="F21" i="3"/>
  <c r="G32" i="25"/>
  <c r="D32" i="25"/>
  <c r="I20" i="25"/>
  <c r="I22" i="25"/>
  <c r="D8" i="3"/>
  <c r="S9" i="25"/>
  <c r="S33" i="25" s="1"/>
  <c r="N58" i="25"/>
  <c r="N64" i="25" s="1"/>
  <c r="Z33" i="25"/>
  <c r="Z109" i="25" s="1"/>
  <c r="AM33" i="25"/>
  <c r="I19" i="25"/>
  <c r="O33" i="25"/>
  <c r="W33" i="25"/>
  <c r="AE33" i="25"/>
  <c r="AE109" i="25" s="1"/>
  <c r="M33" i="25"/>
  <c r="F19" i="25"/>
  <c r="J33" i="25"/>
  <c r="J109" i="25" s="1"/>
  <c r="F22" i="3"/>
  <c r="F22" i="8"/>
  <c r="E32" i="8"/>
  <c r="I20" i="8"/>
  <c r="I23" i="8"/>
  <c r="F19" i="3"/>
  <c r="I19" i="8"/>
  <c r="C23" i="3"/>
  <c r="F23" i="8"/>
  <c r="D19" i="3"/>
  <c r="D41" i="8"/>
  <c r="U58" i="8"/>
  <c r="U64" i="8" s="1"/>
  <c r="U33" i="8"/>
  <c r="I11" i="8"/>
  <c r="F81" i="8"/>
  <c r="I78" i="8"/>
  <c r="F80" i="8"/>
  <c r="G95" i="3"/>
  <c r="H95" i="3" s="1"/>
  <c r="I80" i="8"/>
  <c r="G96" i="3"/>
  <c r="H96" i="3" s="1"/>
  <c r="F79" i="8"/>
  <c r="H114" i="3"/>
  <c r="G131" i="12"/>
  <c r="I121" i="12"/>
  <c r="I108" i="12"/>
  <c r="H102" i="3"/>
  <c r="H33" i="12"/>
  <c r="H109" i="12" s="1"/>
  <c r="I16" i="12"/>
  <c r="I10" i="12"/>
  <c r="G33" i="12"/>
  <c r="G109" i="12" s="1"/>
  <c r="G58" i="12"/>
  <c r="G133" i="12" s="1"/>
  <c r="H58" i="12"/>
  <c r="I9" i="12"/>
  <c r="C108" i="3"/>
  <c r="D94" i="8"/>
  <c r="G142" i="3"/>
  <c r="F114" i="8"/>
  <c r="E117" i="8"/>
  <c r="V58" i="25" l="1"/>
  <c r="V64" i="25" s="1"/>
  <c r="AG137" i="25"/>
  <c r="K137" i="25"/>
  <c r="D14" i="3"/>
  <c r="X33" i="25"/>
  <c r="X109" i="25" s="1"/>
  <c r="E12" i="3"/>
  <c r="U33" i="25"/>
  <c r="U109" i="25" s="1"/>
  <c r="F117" i="25"/>
  <c r="F126" i="25" s="1"/>
  <c r="F130" i="25" s="1"/>
  <c r="I10" i="25"/>
  <c r="H14" i="3"/>
  <c r="G16" i="25"/>
  <c r="I15" i="25"/>
  <c r="AN131" i="25"/>
  <c r="AI46" i="25"/>
  <c r="AI57" i="25" s="1"/>
  <c r="AI110" i="25" s="1"/>
  <c r="AE58" i="25"/>
  <c r="AE64" i="25" s="1"/>
  <c r="AE133" i="25" s="1"/>
  <c r="I23" i="25"/>
  <c r="I32" i="25" s="1"/>
  <c r="H117" i="25"/>
  <c r="H126" i="25" s="1"/>
  <c r="H130" i="25" s="1"/>
  <c r="AF58" i="25"/>
  <c r="AF64" i="25" s="1"/>
  <c r="H8" i="25"/>
  <c r="I8" i="25" s="1"/>
  <c r="I13" i="25"/>
  <c r="L58" i="25"/>
  <c r="L64" i="25" s="1"/>
  <c r="U58" i="25"/>
  <c r="U64" i="25" s="1"/>
  <c r="U133" i="25" s="1"/>
  <c r="H138" i="3"/>
  <c r="O58" i="25"/>
  <c r="O64" i="25" s="1"/>
  <c r="O133" i="25" s="1"/>
  <c r="Q58" i="25"/>
  <c r="Q64" i="25" s="1"/>
  <c r="F23" i="25"/>
  <c r="F32" i="25" s="1"/>
  <c r="AD58" i="25"/>
  <c r="AD64" i="25" s="1"/>
  <c r="AD133" i="25" s="1"/>
  <c r="H16" i="25"/>
  <c r="AM137" i="25"/>
  <c r="D23" i="3"/>
  <c r="E23" i="3" s="1"/>
  <c r="F13" i="25"/>
  <c r="H21" i="3"/>
  <c r="I14" i="25"/>
  <c r="Y137" i="25"/>
  <c r="D11" i="3"/>
  <c r="E11" i="3" s="1"/>
  <c r="R33" i="25"/>
  <c r="R109" i="25" s="1"/>
  <c r="H23" i="3"/>
  <c r="AJ57" i="25"/>
  <c r="AJ110" i="25" s="1"/>
  <c r="AO131" i="25"/>
  <c r="AH46" i="25"/>
  <c r="AH57" i="25" s="1"/>
  <c r="AH110" i="25" s="1"/>
  <c r="L33" i="25"/>
  <c r="L109" i="25" s="1"/>
  <c r="L131" i="25"/>
  <c r="M137" i="25" s="1"/>
  <c r="AK137" i="25"/>
  <c r="P58" i="25"/>
  <c r="P64" i="25" s="1"/>
  <c r="P133" i="25" s="1"/>
  <c r="T9" i="25"/>
  <c r="T58" i="25" s="1"/>
  <c r="T64" i="25" s="1"/>
  <c r="T133" i="25" s="1"/>
  <c r="AM58" i="25"/>
  <c r="AM64" i="25" s="1"/>
  <c r="AM133" i="25" s="1"/>
  <c r="H22" i="3"/>
  <c r="AK58" i="25"/>
  <c r="AK64" i="25" s="1"/>
  <c r="AK133" i="25" s="1"/>
  <c r="R58" i="25"/>
  <c r="R64" i="25" s="1"/>
  <c r="R133" i="25" s="1"/>
  <c r="F7" i="3"/>
  <c r="F9" i="3" s="1"/>
  <c r="E10" i="2" s="1"/>
  <c r="G108" i="25"/>
  <c r="G131" i="25" s="1"/>
  <c r="Z58" i="25"/>
  <c r="Z64" i="25" s="1"/>
  <c r="Z133" i="25" s="1"/>
  <c r="H10" i="3"/>
  <c r="H32" i="25"/>
  <c r="F10" i="25"/>
  <c r="I114" i="25"/>
  <c r="I117" i="25" s="1"/>
  <c r="I126" i="25" s="1"/>
  <c r="I130" i="25" s="1"/>
  <c r="AA58" i="25"/>
  <c r="AA64" i="25" s="1"/>
  <c r="AA133" i="25" s="1"/>
  <c r="AC58" i="25"/>
  <c r="AC64" i="25" s="1"/>
  <c r="AC133" i="25" s="1"/>
  <c r="M58" i="25"/>
  <c r="M64" i="25" s="1"/>
  <c r="M133" i="25" s="1"/>
  <c r="E16" i="25"/>
  <c r="I7" i="25"/>
  <c r="H20" i="3"/>
  <c r="D13" i="3"/>
  <c r="Q33" i="25"/>
  <c r="V133" i="25"/>
  <c r="U137" i="25"/>
  <c r="G46" i="25"/>
  <c r="D10" i="3"/>
  <c r="C11" i="2" s="1"/>
  <c r="D11" i="2" s="1"/>
  <c r="AJ58" i="25"/>
  <c r="AJ64" i="25" s="1"/>
  <c r="AJ133" i="25" s="1"/>
  <c r="AG58" i="25"/>
  <c r="AG64" i="25" s="1"/>
  <c r="AG133" i="25" s="1"/>
  <c r="E7" i="25"/>
  <c r="D117" i="25"/>
  <c r="D126" i="25" s="1"/>
  <c r="D130" i="25" s="1"/>
  <c r="D131" i="25" s="1"/>
  <c r="AB16" i="25"/>
  <c r="D15" i="25"/>
  <c r="D16" i="25" s="1"/>
  <c r="D33" i="25" s="1"/>
  <c r="AC137" i="25"/>
  <c r="W58" i="25"/>
  <c r="W64" i="25" s="1"/>
  <c r="W133" i="25" s="1"/>
  <c r="G11" i="3"/>
  <c r="H11" i="3" s="1"/>
  <c r="I58" i="15"/>
  <c r="I33" i="15"/>
  <c r="F133" i="15"/>
  <c r="F131" i="15"/>
  <c r="F136" i="15" s="1"/>
  <c r="D126" i="15"/>
  <c r="D130" i="15" s="1"/>
  <c r="D134" i="15" s="1"/>
  <c r="H131" i="15"/>
  <c r="H136" i="15" s="1"/>
  <c r="H133" i="15"/>
  <c r="G133" i="15"/>
  <c r="F33" i="15"/>
  <c r="E133" i="15"/>
  <c r="F122" i="15"/>
  <c r="F126" i="15" s="1"/>
  <c r="F130" i="15" s="1"/>
  <c r="F134" i="15" s="1"/>
  <c r="D133" i="15"/>
  <c r="D131" i="15"/>
  <c r="D136" i="15" s="1"/>
  <c r="G126" i="15"/>
  <c r="G130" i="15" s="1"/>
  <c r="G134" i="15" s="1"/>
  <c r="E136" i="15"/>
  <c r="I122" i="15"/>
  <c r="I126" i="15" s="1"/>
  <c r="I130" i="15" s="1"/>
  <c r="E131" i="14"/>
  <c r="E136" i="14" s="1"/>
  <c r="E133" i="14"/>
  <c r="I131" i="14"/>
  <c r="G131" i="14"/>
  <c r="D133" i="14"/>
  <c r="D131" i="14"/>
  <c r="H133" i="14"/>
  <c r="H131" i="14"/>
  <c r="H136" i="14" s="1"/>
  <c r="D9" i="14"/>
  <c r="D58" i="14" s="1"/>
  <c r="D64" i="14" s="1"/>
  <c r="F7" i="14"/>
  <c r="F9" i="14" s="1"/>
  <c r="G9" i="14"/>
  <c r="I7" i="14"/>
  <c r="I9" i="14" s="1"/>
  <c r="F131" i="14"/>
  <c r="D133" i="13"/>
  <c r="D131" i="13"/>
  <c r="D136" i="13" s="1"/>
  <c r="F131" i="13"/>
  <c r="F136" i="13" s="1"/>
  <c r="F133" i="13"/>
  <c r="H34" i="3"/>
  <c r="E133" i="13"/>
  <c r="E131" i="13"/>
  <c r="E136" i="13" s="1"/>
  <c r="I133" i="13"/>
  <c r="I131" i="13"/>
  <c r="I136" i="13" s="1"/>
  <c r="F133" i="12"/>
  <c r="F131" i="12"/>
  <c r="F136" i="12" s="1"/>
  <c r="I109" i="12"/>
  <c r="E131" i="11"/>
  <c r="E136" i="11" s="1"/>
  <c r="E133" i="11"/>
  <c r="I131" i="11"/>
  <c r="I136" i="11" s="1"/>
  <c r="I133" i="11"/>
  <c r="H133" i="11"/>
  <c r="H131" i="11"/>
  <c r="H136" i="11" s="1"/>
  <c r="G133" i="11"/>
  <c r="G131" i="11"/>
  <c r="G136" i="11" s="1"/>
  <c r="F131" i="11"/>
  <c r="F136" i="11" s="1"/>
  <c r="F133" i="11"/>
  <c r="E34" i="3"/>
  <c r="G133" i="10"/>
  <c r="G131" i="10"/>
  <c r="G136" i="10" s="1"/>
  <c r="I33" i="10"/>
  <c r="H133" i="10"/>
  <c r="H131" i="10"/>
  <c r="H136" i="10" s="1"/>
  <c r="F131" i="10"/>
  <c r="F136" i="10" s="1"/>
  <c r="F133" i="10"/>
  <c r="I131" i="10"/>
  <c r="I136" i="10" s="1"/>
  <c r="I133" i="10"/>
  <c r="E131" i="10"/>
  <c r="E136" i="10" s="1"/>
  <c r="E133" i="10"/>
  <c r="D133" i="10"/>
  <c r="D131" i="10"/>
  <c r="D136" i="10" s="1"/>
  <c r="I109" i="10"/>
  <c r="I131" i="9"/>
  <c r="I136" i="9" s="1"/>
  <c r="I133" i="9"/>
  <c r="D131" i="9"/>
  <c r="D136" i="9" s="1"/>
  <c r="D133" i="9"/>
  <c r="G131" i="9"/>
  <c r="G136" i="9" s="1"/>
  <c r="G133" i="9"/>
  <c r="H131" i="9"/>
  <c r="H136" i="9" s="1"/>
  <c r="H133" i="9"/>
  <c r="F109" i="9"/>
  <c r="F133" i="9"/>
  <c r="F131" i="9"/>
  <c r="F136" i="9" s="1"/>
  <c r="E133" i="9"/>
  <c r="E131" i="9"/>
  <c r="E136" i="9" s="1"/>
  <c r="D109" i="9"/>
  <c r="E75" i="3"/>
  <c r="C7" i="3"/>
  <c r="F7" i="8"/>
  <c r="J58" i="8"/>
  <c r="J64" i="8" s="1"/>
  <c r="I86" i="8"/>
  <c r="I94" i="8" s="1"/>
  <c r="G94" i="8"/>
  <c r="F125" i="3"/>
  <c r="E27" i="2" s="1"/>
  <c r="I46" i="8"/>
  <c r="F29" i="8"/>
  <c r="F32" i="8" s="1"/>
  <c r="E11" i="2"/>
  <c r="G11" i="2" s="1"/>
  <c r="E116" i="3"/>
  <c r="E33" i="8"/>
  <c r="H37" i="3"/>
  <c r="AD33" i="8"/>
  <c r="F142" i="3"/>
  <c r="C118" i="3"/>
  <c r="B25" i="2" s="1"/>
  <c r="E42" i="3"/>
  <c r="H47" i="3"/>
  <c r="H56" i="3" s="1"/>
  <c r="F13" i="3"/>
  <c r="H13" i="3" s="1"/>
  <c r="E113" i="3"/>
  <c r="H139" i="3"/>
  <c r="G57" i="8"/>
  <c r="F46" i="8"/>
  <c r="F56" i="3"/>
  <c r="E17" i="2" s="1"/>
  <c r="G17" i="2" s="1"/>
  <c r="Z58" i="8"/>
  <c r="Z64" i="8" s="1"/>
  <c r="H15" i="3"/>
  <c r="F9" i="8"/>
  <c r="H57" i="8"/>
  <c r="F41" i="8"/>
  <c r="H35" i="3"/>
  <c r="AB58" i="8"/>
  <c r="AB64" i="8" s="1"/>
  <c r="F63" i="8"/>
  <c r="F117" i="8"/>
  <c r="D117" i="8"/>
  <c r="G16" i="8"/>
  <c r="C138" i="3"/>
  <c r="E138" i="3" s="1"/>
  <c r="E58" i="8"/>
  <c r="E64" i="8" s="1"/>
  <c r="F56" i="8"/>
  <c r="C56" i="3"/>
  <c r="B17" i="2" s="1"/>
  <c r="D17" i="2" s="1"/>
  <c r="D32" i="8"/>
  <c r="G118" i="3"/>
  <c r="F25" i="2" s="1"/>
  <c r="G25" i="2" s="1"/>
  <c r="I16" i="8"/>
  <c r="G32" i="8"/>
  <c r="I41" i="8"/>
  <c r="F15" i="8"/>
  <c r="H42" i="3"/>
  <c r="F112" i="3"/>
  <c r="E24" i="2" s="1"/>
  <c r="G112" i="3"/>
  <c r="F24" i="2" s="1"/>
  <c r="I74" i="8"/>
  <c r="F94" i="8"/>
  <c r="I63" i="8"/>
  <c r="F74" i="8"/>
  <c r="D112" i="3"/>
  <c r="C24" i="2" s="1"/>
  <c r="H58" i="8"/>
  <c r="H64" i="8" s="1"/>
  <c r="H33" i="8"/>
  <c r="F107" i="8"/>
  <c r="F14" i="8"/>
  <c r="C14" i="3"/>
  <c r="F92" i="3"/>
  <c r="E21" i="2" s="1"/>
  <c r="D27" i="2"/>
  <c r="D19" i="2"/>
  <c r="I56" i="8"/>
  <c r="I100" i="8"/>
  <c r="D16" i="8"/>
  <c r="F13" i="8"/>
  <c r="C13" i="3"/>
  <c r="I29" i="8"/>
  <c r="I32" i="8" s="1"/>
  <c r="G29" i="3"/>
  <c r="I107" i="8"/>
  <c r="F100" i="8"/>
  <c r="J57" i="25"/>
  <c r="J110" i="25" s="1"/>
  <c r="J58" i="25"/>
  <c r="J64" i="25" s="1"/>
  <c r="J133" i="25" s="1"/>
  <c r="E37" i="3"/>
  <c r="F58" i="6"/>
  <c r="G37" i="25"/>
  <c r="I42" i="25"/>
  <c r="AO45" i="25"/>
  <c r="H45" i="25" s="1"/>
  <c r="H46" i="25" s="1"/>
  <c r="F113" i="6"/>
  <c r="G100" i="6"/>
  <c r="K41" i="25"/>
  <c r="H37" i="25"/>
  <c r="H41" i="25" s="1"/>
  <c r="D113" i="6"/>
  <c r="AN45" i="25"/>
  <c r="E45" i="25" s="1"/>
  <c r="F45" i="25" s="1"/>
  <c r="E100" i="6"/>
  <c r="AL58" i="25"/>
  <c r="AL64" i="25" s="1"/>
  <c r="AL133" i="25" s="1"/>
  <c r="AL57" i="25"/>
  <c r="AL110" i="25" s="1"/>
  <c r="D37" i="25"/>
  <c r="F37" i="25" s="1"/>
  <c r="E42" i="25"/>
  <c r="D46" i="25"/>
  <c r="E58" i="6"/>
  <c r="Y41" i="25"/>
  <c r="G35" i="25"/>
  <c r="X41" i="25"/>
  <c r="D35" i="25"/>
  <c r="G59" i="6"/>
  <c r="G40" i="3"/>
  <c r="G41" i="3" s="1"/>
  <c r="E40" i="25"/>
  <c r="F40" i="25" s="1"/>
  <c r="D58" i="6"/>
  <c r="F89" i="5"/>
  <c r="H80" i="3"/>
  <c r="H86" i="3" s="1"/>
  <c r="E87" i="4"/>
  <c r="G19" i="2"/>
  <c r="H62" i="3"/>
  <c r="H71" i="3" s="1"/>
  <c r="E56" i="3"/>
  <c r="H132" i="3"/>
  <c r="E124" i="3"/>
  <c r="H75" i="3"/>
  <c r="N133" i="25"/>
  <c r="O137" i="25"/>
  <c r="E120" i="3"/>
  <c r="G125" i="3"/>
  <c r="F27" i="2" s="1"/>
  <c r="G27" i="2" s="1"/>
  <c r="H125" i="3"/>
  <c r="E139" i="3"/>
  <c r="AI137" i="25"/>
  <c r="H75" i="25"/>
  <c r="I75" i="25" s="1"/>
  <c r="I74" i="25"/>
  <c r="D118" i="3"/>
  <c r="C25" i="2" s="1"/>
  <c r="AF133" i="25"/>
  <c r="D91" i="3"/>
  <c r="D89" i="5"/>
  <c r="G92" i="3"/>
  <c r="F21" i="2" s="1"/>
  <c r="H91" i="3"/>
  <c r="H92" i="3" s="1"/>
  <c r="W137" i="25"/>
  <c r="H74" i="25"/>
  <c r="Q108" i="25"/>
  <c r="Q131" i="25" s="1"/>
  <c r="F75" i="25"/>
  <c r="D101" i="6"/>
  <c r="C45" i="3"/>
  <c r="E74" i="25"/>
  <c r="E108" i="25" s="1"/>
  <c r="E131" i="25" s="1"/>
  <c r="F73" i="25"/>
  <c r="F101" i="6"/>
  <c r="F46" i="3"/>
  <c r="E16" i="2" s="1"/>
  <c r="G16" i="2" s="1"/>
  <c r="D57" i="8"/>
  <c r="AC33" i="25"/>
  <c r="AC109" i="25" s="1"/>
  <c r="G33" i="25"/>
  <c r="S58" i="25"/>
  <c r="S64" i="25" s="1"/>
  <c r="S133" i="25" s="1"/>
  <c r="H9" i="25"/>
  <c r="E8" i="3"/>
  <c r="H19" i="3"/>
  <c r="F32" i="3"/>
  <c r="E14" i="2" s="1"/>
  <c r="C32" i="3"/>
  <c r="E19" i="3"/>
  <c r="H118" i="3"/>
  <c r="I126" i="12"/>
  <c r="H112" i="3"/>
  <c r="G64" i="12"/>
  <c r="G136" i="12" s="1"/>
  <c r="H133" i="12"/>
  <c r="H64" i="12"/>
  <c r="H136" i="12" s="1"/>
  <c r="I33" i="12"/>
  <c r="I58" i="12"/>
  <c r="E108" i="3"/>
  <c r="C112" i="3"/>
  <c r="E14" i="3" l="1"/>
  <c r="I16" i="25"/>
  <c r="AI58" i="25"/>
  <c r="AI64" i="25" s="1"/>
  <c r="AI133" i="25" s="1"/>
  <c r="D16" i="3"/>
  <c r="C12" i="2" s="1"/>
  <c r="H142" i="3"/>
  <c r="I9" i="25"/>
  <c r="I33" i="25" s="1"/>
  <c r="G8" i="3"/>
  <c r="H8" i="3" s="1"/>
  <c r="H7" i="3"/>
  <c r="AO137" i="25"/>
  <c r="L133" i="25"/>
  <c r="D32" i="3"/>
  <c r="C14" i="2" s="1"/>
  <c r="AH58" i="25"/>
  <c r="AH64" i="25" s="1"/>
  <c r="AH133" i="25" s="1"/>
  <c r="F90" i="5"/>
  <c r="G16" i="3"/>
  <c r="F12" i="2" s="1"/>
  <c r="C15" i="3"/>
  <c r="E15" i="3" s="1"/>
  <c r="T33" i="25"/>
  <c r="T109" i="25" s="1"/>
  <c r="G137" i="25"/>
  <c r="E10" i="3"/>
  <c r="F15" i="25"/>
  <c r="F16" i="25" s="1"/>
  <c r="E9" i="25"/>
  <c r="E33" i="25" s="1"/>
  <c r="D7" i="3"/>
  <c r="D9" i="3" s="1"/>
  <c r="C10" i="2" s="1"/>
  <c r="F7" i="25"/>
  <c r="F9" i="25" s="1"/>
  <c r="AB58" i="25"/>
  <c r="AB64" i="25" s="1"/>
  <c r="AB133" i="25" s="1"/>
  <c r="AB33" i="25"/>
  <c r="AB109" i="25" s="1"/>
  <c r="G41" i="25"/>
  <c r="I37" i="25"/>
  <c r="H57" i="25"/>
  <c r="G9" i="3"/>
  <c r="F10" i="2" s="1"/>
  <c r="G10" i="2" s="1"/>
  <c r="H108" i="25"/>
  <c r="H131" i="25" s="1"/>
  <c r="H137" i="25" s="1"/>
  <c r="I134" i="15"/>
  <c r="I131" i="15"/>
  <c r="G131" i="15"/>
  <c r="G136" i="15" s="1"/>
  <c r="I64" i="15"/>
  <c r="I133" i="15"/>
  <c r="F58" i="14"/>
  <c r="F33" i="14"/>
  <c r="D33" i="14"/>
  <c r="D109" i="14" s="1"/>
  <c r="F109" i="14" s="1"/>
  <c r="G58" i="14"/>
  <c r="G33" i="14"/>
  <c r="G109" i="14" s="1"/>
  <c r="I109" i="14" s="1"/>
  <c r="I58" i="14"/>
  <c r="I33" i="14"/>
  <c r="D136" i="14"/>
  <c r="C9" i="3"/>
  <c r="B10" i="2" s="1"/>
  <c r="D25" i="2"/>
  <c r="E118" i="3"/>
  <c r="G24" i="2"/>
  <c r="F16" i="3"/>
  <c r="E12" i="2" s="1"/>
  <c r="G12" i="2" s="1"/>
  <c r="G58" i="8"/>
  <c r="G64" i="8" s="1"/>
  <c r="G21" i="2"/>
  <c r="H16" i="3"/>
  <c r="F57" i="8"/>
  <c r="I33" i="8"/>
  <c r="I58" i="8"/>
  <c r="I64" i="8" s="1"/>
  <c r="I57" i="8"/>
  <c r="G33" i="8"/>
  <c r="E125" i="3"/>
  <c r="C142" i="3"/>
  <c r="D33" i="8"/>
  <c r="F16" i="8"/>
  <c r="F58" i="8" s="1"/>
  <c r="F64" i="8" s="1"/>
  <c r="E13" i="3"/>
  <c r="F33" i="8"/>
  <c r="G32" i="3"/>
  <c r="H29" i="3"/>
  <c r="H32" i="3" s="1"/>
  <c r="D58" i="8"/>
  <c r="D64" i="8" s="1"/>
  <c r="F15" i="2"/>
  <c r="G57" i="3"/>
  <c r="K57" i="25"/>
  <c r="K110" i="25" s="1"/>
  <c r="K58" i="25"/>
  <c r="K64" i="25" s="1"/>
  <c r="K133" i="25" s="1"/>
  <c r="D59" i="6"/>
  <c r="C40" i="3"/>
  <c r="D41" i="25"/>
  <c r="D57" i="25" s="1"/>
  <c r="E59" i="6"/>
  <c r="D40" i="3"/>
  <c r="D41" i="3" s="1"/>
  <c r="C15" i="2" s="1"/>
  <c r="I35" i="25"/>
  <c r="AO46" i="25"/>
  <c r="I45" i="25"/>
  <c r="I46" i="25" s="1"/>
  <c r="X57" i="25"/>
  <c r="X110" i="25" s="1"/>
  <c r="X58" i="25"/>
  <c r="X64" i="25" s="1"/>
  <c r="X133" i="25" s="1"/>
  <c r="F114" i="6"/>
  <c r="F115" i="6" s="1"/>
  <c r="D45" i="3"/>
  <c r="D46" i="3" s="1"/>
  <c r="E101" i="6"/>
  <c r="E102" i="6" s="1"/>
  <c r="G45" i="3"/>
  <c r="H45" i="3" s="1"/>
  <c r="G101" i="6"/>
  <c r="G102" i="6" s="1"/>
  <c r="E41" i="25"/>
  <c r="D102" i="6"/>
  <c r="F42" i="25"/>
  <c r="F46" i="25" s="1"/>
  <c r="E46" i="25"/>
  <c r="F35" i="25"/>
  <c r="F41" i="25" s="1"/>
  <c r="AN46" i="25"/>
  <c r="Y57" i="25"/>
  <c r="Y110" i="25" s="1"/>
  <c r="Y58" i="25"/>
  <c r="Y64" i="25" s="1"/>
  <c r="Y133" i="25" s="1"/>
  <c r="F40" i="3"/>
  <c r="F59" i="6"/>
  <c r="F102" i="6" s="1"/>
  <c r="E142" i="3"/>
  <c r="I108" i="25"/>
  <c r="I131" i="25" s="1"/>
  <c r="Q133" i="25"/>
  <c r="Q137" i="25"/>
  <c r="E91" i="3"/>
  <c r="D92" i="3"/>
  <c r="C21" i="2" s="1"/>
  <c r="D21" i="2" s="1"/>
  <c r="F74" i="25"/>
  <c r="F108" i="25" s="1"/>
  <c r="F131" i="25" s="1"/>
  <c r="D90" i="5"/>
  <c r="D91" i="5" s="1"/>
  <c r="C46" i="3"/>
  <c r="H46" i="3"/>
  <c r="H58" i="25"/>
  <c r="H64" i="25" s="1"/>
  <c r="H33" i="25"/>
  <c r="B14" i="2"/>
  <c r="E32" i="3"/>
  <c r="P109" i="8"/>
  <c r="I130" i="12"/>
  <c r="I64" i="12"/>
  <c r="I133" i="12"/>
  <c r="B24" i="2"/>
  <c r="E112" i="3"/>
  <c r="H9" i="3" l="1"/>
  <c r="C16" i="3"/>
  <c r="B12" i="2" s="1"/>
  <c r="D12" i="2" s="1"/>
  <c r="G58" i="3"/>
  <c r="G76" i="3" s="1"/>
  <c r="F57" i="25"/>
  <c r="F33" i="25"/>
  <c r="D33" i="3"/>
  <c r="D10" i="2"/>
  <c r="E7" i="3"/>
  <c r="D58" i="25"/>
  <c r="D64" i="25" s="1"/>
  <c r="D133" i="25" s="1"/>
  <c r="G58" i="25"/>
  <c r="G64" i="25" s="1"/>
  <c r="G57" i="25"/>
  <c r="I136" i="15"/>
  <c r="G64" i="14"/>
  <c r="G136" i="14" s="1"/>
  <c r="G133" i="14"/>
  <c r="F64" i="14"/>
  <c r="F136" i="14" s="1"/>
  <c r="F133" i="14"/>
  <c r="I64" i="14"/>
  <c r="I136" i="14" s="1"/>
  <c r="I133" i="14"/>
  <c r="F33" i="3"/>
  <c r="E45" i="3"/>
  <c r="F14" i="2"/>
  <c r="G14" i="2" s="1"/>
  <c r="G33" i="3"/>
  <c r="E16" i="3"/>
  <c r="H40" i="3"/>
  <c r="H41" i="3" s="1"/>
  <c r="H57" i="3" s="1"/>
  <c r="F41" i="3"/>
  <c r="E57" i="25"/>
  <c r="E58" i="25"/>
  <c r="E64" i="25" s="1"/>
  <c r="E133" i="25" s="1"/>
  <c r="AN57" i="25"/>
  <c r="AN110" i="25" s="1"/>
  <c r="AN58" i="25"/>
  <c r="AN64" i="25" s="1"/>
  <c r="AN133" i="25" s="1"/>
  <c r="F58" i="25"/>
  <c r="F64" i="25" s="1"/>
  <c r="F133" i="25" s="1"/>
  <c r="D114" i="6"/>
  <c r="D115" i="6" s="1"/>
  <c r="C16" i="2"/>
  <c r="C18" i="2" s="1"/>
  <c r="C20" i="2" s="1"/>
  <c r="D57" i="3"/>
  <c r="D58" i="3"/>
  <c r="D76" i="3" s="1"/>
  <c r="AO57" i="25"/>
  <c r="AO58" i="25"/>
  <c r="AO64" i="25" s="1"/>
  <c r="AO133" i="25" s="1"/>
  <c r="I41" i="25"/>
  <c r="I58" i="25" s="1"/>
  <c r="I64" i="25" s="1"/>
  <c r="E40" i="3"/>
  <c r="C41" i="3"/>
  <c r="B15" i="2" s="1"/>
  <c r="D15" i="2" s="1"/>
  <c r="E92" i="3"/>
  <c r="B16" i="2"/>
  <c r="I137" i="25"/>
  <c r="H33" i="3"/>
  <c r="D14" i="2"/>
  <c r="Q109" i="8"/>
  <c r="I134" i="12"/>
  <c r="I131" i="12"/>
  <c r="I136" i="12"/>
  <c r="D24" i="2"/>
  <c r="D119" i="8"/>
  <c r="C144" i="3" s="1"/>
  <c r="H119" i="8"/>
  <c r="E119" i="8"/>
  <c r="D144" i="3" s="1"/>
  <c r="E118" i="8"/>
  <c r="D143" i="3" s="1"/>
  <c r="D118" i="8"/>
  <c r="C143" i="3" s="1"/>
  <c r="G119" i="8"/>
  <c r="F144" i="3" s="1"/>
  <c r="G118" i="8"/>
  <c r="F143" i="3" s="1"/>
  <c r="H118" i="8"/>
  <c r="C33" i="3" l="1"/>
  <c r="E9" i="3"/>
  <c r="E33" i="3" s="1"/>
  <c r="E46" i="3"/>
  <c r="H58" i="3"/>
  <c r="H76" i="3" s="1"/>
  <c r="F18" i="2"/>
  <c r="F20" i="2" s="1"/>
  <c r="I118" i="8"/>
  <c r="C58" i="3"/>
  <c r="C76" i="3" s="1"/>
  <c r="C57" i="3"/>
  <c r="D16" i="2"/>
  <c r="D18" i="2" s="1"/>
  <c r="D20" i="2" s="1"/>
  <c r="E41" i="3"/>
  <c r="E15" i="2"/>
  <c r="F58" i="3"/>
  <c r="F76" i="3" s="1"/>
  <c r="F57" i="3"/>
  <c r="I57" i="25"/>
  <c r="E143" i="3"/>
  <c r="B18" i="2"/>
  <c r="B20" i="2" s="1"/>
  <c r="G143" i="3"/>
  <c r="H143" i="3" s="1"/>
  <c r="I119" i="8"/>
  <c r="G144" i="3"/>
  <c r="H144" i="3" s="1"/>
  <c r="F118" i="8"/>
  <c r="E144" i="3"/>
  <c r="F119" i="8"/>
  <c r="E57" i="3" l="1"/>
  <c r="E58" i="3"/>
  <c r="E76" i="3" s="1"/>
  <c r="G15" i="2"/>
  <c r="G18" i="2" s="1"/>
  <c r="G20" i="2" s="1"/>
  <c r="E18" i="2"/>
  <c r="E20" i="2" s="1"/>
  <c r="R109" i="8"/>
  <c r="S109" i="8" l="1"/>
  <c r="AO126" i="8"/>
  <c r="AK126" i="8"/>
  <c r="AH126" i="8"/>
  <c r="AY126" i="8"/>
  <c r="AR126" i="8"/>
  <c r="O126" i="8"/>
  <c r="U126" i="8"/>
  <c r="W126" i="8"/>
  <c r="AV126" i="8"/>
  <c r="AW126" i="8"/>
  <c r="AD126" i="8"/>
  <c r="AX126" i="8"/>
  <c r="Q126" i="8"/>
  <c r="X126" i="8"/>
  <c r="AG126" i="8"/>
  <c r="D124" i="8"/>
  <c r="C147" i="3" s="1"/>
  <c r="E122" i="8"/>
  <c r="AB126" i="8"/>
  <c r="D123" i="8"/>
  <c r="C146" i="3" s="1"/>
  <c r="H122" i="8"/>
  <c r="AT126" i="8"/>
  <c r="AP126" i="8"/>
  <c r="M126" i="8"/>
  <c r="Y126" i="8"/>
  <c r="G124" i="8"/>
  <c r="F147" i="3" s="1"/>
  <c r="N126" i="8"/>
  <c r="AN126" i="8"/>
  <c r="K126" i="8"/>
  <c r="H121" i="8"/>
  <c r="I121" i="8" s="1"/>
  <c r="L126" i="8"/>
  <c r="E121" i="8"/>
  <c r="F121" i="8" s="1"/>
  <c r="AF126" i="8"/>
  <c r="AQ126" i="8"/>
  <c r="Z126" i="8"/>
  <c r="R126" i="8"/>
  <c r="AA126" i="8"/>
  <c r="H125" i="8"/>
  <c r="AI126" i="8"/>
  <c r="H124" i="8"/>
  <c r="G147" i="3" s="1"/>
  <c r="AS126" i="8"/>
  <c r="AE126" i="8"/>
  <c r="G123" i="8"/>
  <c r="F146" i="3" s="1"/>
  <c r="G125" i="8"/>
  <c r="F148" i="3" s="1"/>
  <c r="AU126" i="8"/>
  <c r="AL126" i="8"/>
  <c r="E124" i="8"/>
  <c r="D147" i="3" s="1"/>
  <c r="H123" i="8"/>
  <c r="G120" i="8"/>
  <c r="G122" i="8" s="1"/>
  <c r="T126" i="8"/>
  <c r="V126" i="8"/>
  <c r="AJ126" i="8"/>
  <c r="AM126" i="8"/>
  <c r="J126" i="8"/>
  <c r="E123" i="8"/>
  <c r="D146" i="3" s="1"/>
  <c r="AC126" i="8"/>
  <c r="S126" i="8"/>
  <c r="D120" i="8"/>
  <c r="D122" i="8" s="1"/>
  <c r="P126" i="8"/>
  <c r="E125" i="8"/>
  <c r="D125" i="8"/>
  <c r="C148" i="3" s="1"/>
  <c r="H120" i="8"/>
  <c r="E120" i="8"/>
  <c r="F122" i="8" l="1"/>
  <c r="I122" i="8"/>
  <c r="E126" i="8"/>
  <c r="I120" i="8"/>
  <c r="F149" i="3"/>
  <c r="C149" i="3"/>
  <c r="E147" i="3"/>
  <c r="F124" i="8"/>
  <c r="F125" i="8"/>
  <c r="F123" i="8"/>
  <c r="F120" i="8"/>
  <c r="D126" i="8"/>
  <c r="H147" i="3"/>
  <c r="G146" i="3"/>
  <c r="I123" i="8"/>
  <c r="H126" i="8"/>
  <c r="D149" i="3"/>
  <c r="E146" i="3"/>
  <c r="G148" i="3"/>
  <c r="H148" i="3" s="1"/>
  <c r="I125" i="8"/>
  <c r="D148" i="3"/>
  <c r="E148" i="3" s="1"/>
  <c r="I124" i="8"/>
  <c r="G126" i="8"/>
  <c r="F126" i="8" l="1"/>
  <c r="T109" i="8"/>
  <c r="E149" i="3"/>
  <c r="I126" i="8"/>
  <c r="G149" i="3"/>
  <c r="H146" i="3"/>
  <c r="U109" i="8" l="1"/>
  <c r="H149" i="3"/>
  <c r="G129" i="8" l="1"/>
  <c r="F152" i="3" s="1"/>
  <c r="G128" i="8"/>
  <c r="F151" i="3" s="1"/>
  <c r="E129" i="8"/>
  <c r="D129" i="8"/>
  <c r="C152" i="3" s="1"/>
  <c r="H128" i="8"/>
  <c r="D128" i="8"/>
  <c r="C151" i="3" s="1"/>
  <c r="H129" i="8"/>
  <c r="E128" i="8"/>
  <c r="D151" i="3" s="1"/>
  <c r="F129" i="8" l="1"/>
  <c r="I128" i="8"/>
  <c r="V109" i="8"/>
  <c r="D152" i="3"/>
  <c r="E152" i="3" s="1"/>
  <c r="G151" i="3"/>
  <c r="H151" i="3" s="1"/>
  <c r="E151" i="3"/>
  <c r="I129" i="8"/>
  <c r="G152" i="3"/>
  <c r="H152" i="3" s="1"/>
  <c r="F128" i="8"/>
  <c r="W109" i="8" l="1"/>
  <c r="J130" i="8" l="1"/>
  <c r="T130" i="8"/>
  <c r="L130" i="8"/>
  <c r="AP130" i="8"/>
  <c r="AS130" i="8"/>
  <c r="AF130" i="8"/>
  <c r="U130" i="8"/>
  <c r="AR130" i="8"/>
  <c r="V130" i="8"/>
  <c r="AM130" i="8"/>
  <c r="Z130" i="8"/>
  <c r="S130" i="8"/>
  <c r="AD130" i="8"/>
  <c r="AK130" i="8"/>
  <c r="AO130" i="8"/>
  <c r="Q130" i="8"/>
  <c r="AJ130" i="8"/>
  <c r="P130" i="8"/>
  <c r="AU130" i="8"/>
  <c r="O130" i="8"/>
  <c r="AQ130" i="8"/>
  <c r="N130" i="8"/>
  <c r="Y130" i="8"/>
  <c r="AE130" i="8"/>
  <c r="W130" i="8"/>
  <c r="AC130" i="8"/>
  <c r="AW130" i="8"/>
  <c r="R130" i="8"/>
  <c r="AT130" i="8"/>
  <c r="X130" i="8"/>
  <c r="AH130" i="8"/>
  <c r="AY130" i="8"/>
  <c r="K130" i="8"/>
  <c r="AN130" i="8"/>
  <c r="G127" i="8"/>
  <c r="AV130" i="8"/>
  <c r="AG130" i="8"/>
  <c r="AX130" i="8"/>
  <c r="AA130" i="8"/>
  <c r="AI130" i="8"/>
  <c r="AB130" i="8"/>
  <c r="M130" i="8"/>
  <c r="AL130" i="8"/>
  <c r="D127" i="8"/>
  <c r="H127" i="8"/>
  <c r="E127" i="8"/>
  <c r="D150" i="3" s="1"/>
  <c r="X109" i="8" l="1"/>
  <c r="H130" i="8"/>
  <c r="G150" i="3"/>
  <c r="I127" i="8"/>
  <c r="I130" i="8" s="1"/>
  <c r="E130" i="8"/>
  <c r="F127" i="8"/>
  <c r="F130" i="8" s="1"/>
  <c r="F150" i="3"/>
  <c r="F153" i="3" s="1"/>
  <c r="G130" i="8"/>
  <c r="D130" i="8"/>
  <c r="C150" i="3"/>
  <c r="C153" i="3" s="1"/>
  <c r="D153" i="3"/>
  <c r="Y109" i="8" l="1"/>
  <c r="C157" i="3"/>
  <c r="B29" i="2"/>
  <c r="C29" i="2"/>
  <c r="D157" i="3"/>
  <c r="F157" i="3"/>
  <c r="E29" i="2"/>
  <c r="G153" i="3"/>
  <c r="H150" i="3"/>
  <c r="E150" i="3"/>
  <c r="D29" i="2" l="1"/>
  <c r="E153" i="3"/>
  <c r="H153" i="3"/>
  <c r="F29" i="2"/>
  <c r="G157" i="3"/>
  <c r="Z109" i="8" l="1"/>
  <c r="G29" i="2"/>
  <c r="H157" i="3"/>
  <c r="E157" i="3"/>
  <c r="AA109" i="8" l="1"/>
  <c r="AB109" i="8" l="1"/>
  <c r="AC109" i="8" l="1"/>
  <c r="AD109" i="8" l="1"/>
  <c r="AE109" i="8" l="1"/>
  <c r="AF109" i="8" l="1"/>
  <c r="AG109" i="8" l="1"/>
  <c r="AH109" i="8" l="1"/>
  <c r="AI109" i="8" l="1"/>
  <c r="D76" i="8" l="1"/>
  <c r="AJ109" i="8" l="1"/>
  <c r="C94" i="3"/>
  <c r="C100" i="3" s="1"/>
  <c r="D82" i="8"/>
  <c r="D109" i="8" l="1"/>
  <c r="B23" i="2"/>
  <c r="C127" i="3"/>
  <c r="C159" i="3" s="1"/>
  <c r="AK109" i="8"/>
  <c r="AL109" i="8" l="1"/>
  <c r="G76" i="8"/>
  <c r="AM109" i="8" l="1"/>
  <c r="F94" i="3"/>
  <c r="F100" i="3" s="1"/>
  <c r="G82" i="8"/>
  <c r="G109" i="8" l="1"/>
  <c r="E23" i="2"/>
  <c r="F127" i="3"/>
  <c r="F159" i="3" s="1"/>
  <c r="AN109" i="8" l="1"/>
  <c r="AO109" i="8" l="1"/>
  <c r="AP109" i="8" l="1"/>
  <c r="AQ109" i="8" l="1"/>
  <c r="AR109" i="8" l="1"/>
  <c r="AS109" i="8" l="1"/>
  <c r="AT109" i="8" l="1"/>
  <c r="AU109" i="8" l="1"/>
  <c r="AV109" i="8" l="1"/>
  <c r="AW109" i="8" l="1"/>
  <c r="E76" i="8" l="1"/>
  <c r="H76" i="8" l="1"/>
  <c r="F76" i="8"/>
  <c r="F82" i="8" s="1"/>
  <c r="D94" i="3"/>
  <c r="E82" i="8"/>
  <c r="AX109" i="8"/>
  <c r="H82" i="8" l="1"/>
  <c r="I76" i="8"/>
  <c r="I82" i="8" s="1"/>
  <c r="G94" i="3"/>
  <c r="E109" i="8"/>
  <c r="F109" i="8" s="1"/>
  <c r="AY109" i="8"/>
  <c r="D100" i="3"/>
  <c r="E94" i="3"/>
  <c r="H94" i="3" l="1"/>
  <c r="G100" i="3"/>
  <c r="I109" i="8"/>
  <c r="H109" i="8"/>
  <c r="E100" i="3"/>
  <c r="D127" i="3"/>
  <c r="C23" i="2"/>
  <c r="D23" i="2" s="1"/>
  <c r="D159" i="3" l="1"/>
  <c r="E159" i="3" s="1"/>
  <c r="E127" i="3"/>
  <c r="F23" i="2"/>
  <c r="G23" i="2" s="1"/>
  <c r="G127" i="3"/>
  <c r="H100" i="3"/>
  <c r="G159" i="3" l="1"/>
  <c r="H159" i="3" s="1"/>
  <c r="H127" i="3"/>
  <c r="AO108" i="8" l="1"/>
  <c r="AO131" i="8" s="1"/>
  <c r="AH108" i="8"/>
  <c r="AH131" i="8" s="1"/>
  <c r="V108" i="8"/>
  <c r="V131" i="8" s="1"/>
  <c r="AC108" i="8"/>
  <c r="AC131" i="8" s="1"/>
  <c r="U108" i="8"/>
  <c r="U131" i="8" s="1"/>
  <c r="AJ108" i="8"/>
  <c r="AJ131" i="8" s="1"/>
  <c r="AT108" i="8"/>
  <c r="AT131" i="8" s="1"/>
  <c r="AA108" i="8"/>
  <c r="AA131" i="8" s="1"/>
  <c r="X108" i="8"/>
  <c r="X131" i="8" s="1"/>
  <c r="L108" i="8"/>
  <c r="L131" i="8" s="1"/>
  <c r="N108" i="8"/>
  <c r="N131" i="8" s="1"/>
  <c r="S108" i="8"/>
  <c r="S131" i="8" s="1"/>
  <c r="R108" i="8"/>
  <c r="R131" i="8" s="1"/>
  <c r="O108" i="8"/>
  <c r="O131" i="8" s="1"/>
  <c r="AI108" i="8"/>
  <c r="AI131" i="8" s="1"/>
  <c r="AX108" i="8"/>
  <c r="AX131" i="8" s="1"/>
  <c r="AM108" i="8"/>
  <c r="AM131" i="8" s="1"/>
  <c r="AQ108" i="8"/>
  <c r="AQ131" i="8" s="1"/>
  <c r="AY108" i="8"/>
  <c r="AY131" i="8" s="1"/>
  <c r="AL108" i="8"/>
  <c r="AL131" i="8" s="1"/>
  <c r="AR108" i="8"/>
  <c r="AR131" i="8" s="1"/>
  <c r="W108" i="8"/>
  <c r="W131" i="8" s="1"/>
  <c r="AP108" i="8"/>
  <c r="AP131" i="8" s="1"/>
  <c r="AD108" i="8"/>
  <c r="AD131" i="8" s="1"/>
  <c r="AN108" i="8"/>
  <c r="AN131" i="8" s="1"/>
  <c r="M108" i="8"/>
  <c r="M131" i="8" s="1"/>
  <c r="T108" i="8"/>
  <c r="T131" i="8" s="1"/>
  <c r="AW108" i="8"/>
  <c r="AW131" i="8" s="1"/>
  <c r="P108" i="8"/>
  <c r="P131" i="8" s="1"/>
  <c r="AK108" i="8"/>
  <c r="AK131" i="8" s="1"/>
  <c r="AE108" i="8"/>
  <c r="AE131" i="8" s="1"/>
  <c r="Z108" i="8"/>
  <c r="Z131" i="8" s="1"/>
  <c r="Y108" i="8"/>
  <c r="Y131" i="8" s="1"/>
  <c r="AS108" i="8"/>
  <c r="AS131" i="8" s="1"/>
  <c r="AG108" i="8"/>
  <c r="AG131" i="8" s="1"/>
  <c r="AB108" i="8"/>
  <c r="AB131" i="8" s="1"/>
  <c r="K108" i="8"/>
  <c r="K131" i="8" s="1"/>
  <c r="AV108" i="8"/>
  <c r="AV131" i="8" s="1"/>
  <c r="AU108" i="8"/>
  <c r="AU131" i="8" s="1"/>
  <c r="Q108" i="8"/>
  <c r="Q131" i="8" s="1"/>
  <c r="AF108" i="8"/>
  <c r="AF131" i="8" s="1"/>
  <c r="G75" i="8"/>
  <c r="E75" i="8"/>
  <c r="D93" i="3" s="1"/>
  <c r="H75" i="8"/>
  <c r="H110" i="8" s="1"/>
  <c r="X110" i="8"/>
  <c r="AI110" i="8"/>
  <c r="AL110" i="8"/>
  <c r="AW110" i="8"/>
  <c r="T110" i="8"/>
  <c r="AE110" i="8"/>
  <c r="Q110" i="8"/>
  <c r="AY110" i="8"/>
  <c r="AU110" i="8"/>
  <c r="AN110" i="8"/>
  <c r="AJ110" i="8"/>
  <c r="AG110" i="8"/>
  <c r="V110" i="8"/>
  <c r="S110" i="8"/>
  <c r="O110" i="8"/>
  <c r="AT110" i="8"/>
  <c r="AQ110" i="8"/>
  <c r="AM110" i="8"/>
  <c r="AF110" i="8"/>
  <c r="AB110" i="8"/>
  <c r="Y110" i="8"/>
  <c r="N110" i="8"/>
  <c r="K110" i="8"/>
  <c r="AV110" i="8"/>
  <c r="AR110" i="8"/>
  <c r="AO110" i="8"/>
  <c r="AD110" i="8"/>
  <c r="AA110" i="8"/>
  <c r="W110" i="8"/>
  <c r="P110" i="8"/>
  <c r="L110" i="8"/>
  <c r="AX110" i="8"/>
  <c r="AS110" i="8"/>
  <c r="AP110" i="8"/>
  <c r="AK110" i="8"/>
  <c r="AH110" i="8"/>
  <c r="AC110" i="8"/>
  <c r="Z110" i="8"/>
  <c r="U110" i="8"/>
  <c r="R110" i="8"/>
  <c r="M110" i="8"/>
  <c r="E110" i="8" l="1"/>
  <c r="G93" i="3"/>
  <c r="G128" i="3" s="1"/>
  <c r="G160" i="3" s="1"/>
  <c r="H108" i="8"/>
  <c r="H131" i="8" s="1"/>
  <c r="D128" i="3"/>
  <c r="D126" i="3"/>
  <c r="C22" i="2"/>
  <c r="C28" i="2" s="1"/>
  <c r="C30" i="2" s="1"/>
  <c r="C33" i="2" s="1"/>
  <c r="G108" i="8"/>
  <c r="G131" i="8" s="1"/>
  <c r="G110" i="8"/>
  <c r="F93" i="3"/>
  <c r="I75" i="8"/>
  <c r="E108" i="8"/>
  <c r="E131" i="8" s="1"/>
  <c r="G126" i="3" l="1"/>
  <c r="G154" i="3" s="1"/>
  <c r="G162" i="3" s="1"/>
  <c r="F22" i="2"/>
  <c r="F28" i="2" s="1"/>
  <c r="F30" i="2" s="1"/>
  <c r="F33" i="2" s="1"/>
  <c r="D156" i="3"/>
  <c r="D154" i="3"/>
  <c r="D162" i="3" s="1"/>
  <c r="D160" i="3"/>
  <c r="E22" i="2"/>
  <c r="F128" i="3"/>
  <c r="F126" i="3"/>
  <c r="H93" i="3"/>
  <c r="J110" i="8"/>
  <c r="J108" i="8"/>
  <c r="J131" i="8" s="1"/>
  <c r="D75" i="8"/>
  <c r="I108" i="8"/>
  <c r="I131" i="8" s="1"/>
  <c r="I110" i="8"/>
  <c r="G156" i="3" l="1"/>
  <c r="H126" i="3"/>
  <c r="F156" i="3"/>
  <c r="F154" i="3"/>
  <c r="F162" i="3" s="1"/>
  <c r="D110" i="8"/>
  <c r="F110" i="8" s="1"/>
  <c r="D108" i="8"/>
  <c r="D131" i="8" s="1"/>
  <c r="C93" i="3"/>
  <c r="F75" i="8"/>
  <c r="F108" i="8" s="1"/>
  <c r="F131" i="8" s="1"/>
  <c r="F160" i="3"/>
  <c r="H128" i="3"/>
  <c r="H160" i="3" s="1"/>
  <c r="G22" i="2"/>
  <c r="G28" i="2" s="1"/>
  <c r="G30" i="2" s="1"/>
  <c r="G33" i="2" s="1"/>
  <c r="E28" i="2"/>
  <c r="E30" i="2" s="1"/>
  <c r="E33" i="2" s="1"/>
  <c r="C126" i="3" l="1"/>
  <c r="B22" i="2"/>
  <c r="C128" i="3"/>
  <c r="E93" i="3"/>
  <c r="H154" i="3"/>
  <c r="H156" i="3"/>
  <c r="D22" i="2" l="1"/>
  <c r="D28" i="2" s="1"/>
  <c r="D30" i="2" s="1"/>
  <c r="D33" i="2" s="1"/>
  <c r="B28" i="2"/>
  <c r="B30" i="2" s="1"/>
  <c r="B33" i="2" s="1"/>
  <c r="E126" i="3"/>
  <c r="C160" i="3"/>
  <c r="E128" i="3"/>
  <c r="E160" i="3" s="1"/>
  <c r="H162" i="3"/>
  <c r="C156" i="3"/>
  <c r="C154" i="3"/>
  <c r="C162" i="3" s="1"/>
  <c r="E154" i="3" l="1"/>
  <c r="E162" i="3" s="1"/>
  <c r="E156" i="3"/>
</calcChain>
</file>

<file path=xl/comments1.xml><?xml version="1.0" encoding="utf-8"?>
<comments xmlns="http://schemas.openxmlformats.org/spreadsheetml/2006/main">
  <authors>
    <author/>
  </authors>
  <commentList>
    <comment ref="D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gl:
</t>
        </r>
        <r>
          <rPr>
            <sz val="8"/>
            <color indexed="8"/>
            <rFont val="Tahoma"/>
            <family val="2"/>
            <charset val="238"/>
          </rPr>
          <t>Ezt módosítani ha kell</t>
        </r>
      </text>
    </comment>
    <comment ref="G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gl:
</t>
        </r>
        <r>
          <rPr>
            <sz val="8"/>
            <color indexed="8"/>
            <rFont val="Tahoma"/>
            <family val="2"/>
            <charset val="238"/>
          </rPr>
          <t>Ezt módosítani ha kell</t>
        </r>
      </text>
    </comment>
  </commentList>
</comments>
</file>

<file path=xl/comments2.xml><?xml version="1.0" encoding="utf-8"?>
<comments xmlns="http://schemas.openxmlformats.org/spreadsheetml/2006/main">
  <authors>
    <author>Gallaci</author>
  </authors>
  <commentList>
    <comment ref="D47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Tartalék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Tartalék</t>
        </r>
      </text>
    </comment>
  </commentList>
</comments>
</file>

<file path=xl/comments3.xml><?xml version="1.0" encoding="utf-8"?>
<comments xmlns="http://schemas.openxmlformats.org/spreadsheetml/2006/main">
  <authors>
    <author>Gallaci</author>
  </authors>
  <commentList>
    <comment ref="E51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Fordított áfa miatt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Fordított áfa miatt</t>
        </r>
      </text>
    </comment>
  </commentList>
</comments>
</file>

<file path=xl/comments4.xml><?xml version="1.0" encoding="utf-8"?>
<comments xmlns="http://schemas.openxmlformats.org/spreadsheetml/2006/main">
  <authors>
    <author>Gallaci</author>
  </authors>
  <commentList>
    <comment ref="E113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Othonházi lakások
</t>
        </r>
      </text>
    </comment>
    <comment ref="H113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Othonházi lakások
</t>
        </r>
      </text>
    </comment>
    <comment ref="J113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Főszámla+Otthonházi+Köznyezetvédelmi
</t>
        </r>
      </text>
    </comment>
    <comment ref="K113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Főszámla+Otthonházi+Köznyezetvédelmi
</t>
        </r>
      </text>
    </comment>
    <comment ref="K114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Szennyvíz elkülönített számlák
</t>
        </r>
      </text>
    </comment>
  </commentList>
</comments>
</file>

<file path=xl/comments5.xml><?xml version="1.0" encoding="utf-8"?>
<comments xmlns="http://schemas.openxmlformats.org/spreadsheetml/2006/main">
  <authors>
    <author>Gallaci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>Gyerekesély 36 fő - 4 fő célfeladatos, ebből 3 középfokű
Paktum 1 fő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>Gyerekesély 36 fő - 4 fő célfeladatos, ebből 3 középfokű
Paktum 1 fő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3 fő Gyerekesély
3+2 fő Humánszolg fejl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3 fő Gyerekesély
3+2 fő Humánszolg fejl</t>
        </r>
      </text>
    </comment>
  </commentList>
</comments>
</file>

<file path=xl/comments6.xml><?xml version="1.0" encoding="utf-8"?>
<comments xmlns="http://schemas.openxmlformats.org/spreadsheetml/2006/main">
  <authors>
    <author>Gallaci</author>
  </authors>
  <commentList>
    <comment ref="AH114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Ezt nem tudom!</t>
        </r>
      </text>
    </comment>
    <comment ref="AN122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5 % önerő</t>
        </r>
      </text>
    </comment>
    <comment ref="AO122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5 % önerő</t>
        </r>
      </text>
    </comment>
  </commentList>
</comments>
</file>

<file path=xl/sharedStrings.xml><?xml version="1.0" encoding="utf-8"?>
<sst xmlns="http://schemas.openxmlformats.org/spreadsheetml/2006/main" count="4753" uniqueCount="915">
  <si>
    <t>Barcsi Polgármesteri Hivatal</t>
  </si>
  <si>
    <t>Barcs Városi Önkormányzat Városgazdálkodási Igazgatósága</t>
  </si>
  <si>
    <t>Kistérségi Járóbetegellátó Központ</t>
  </si>
  <si>
    <t>Barcsi Szociális Központ</t>
  </si>
  <si>
    <t>Barcs Város Óvodája és Bölcsődéje</t>
  </si>
  <si>
    <t>Barcsi Városi Könyvtár</t>
  </si>
  <si>
    <t>Eredeti előirányzat</t>
  </si>
  <si>
    <t>Módosított előirányzat</t>
  </si>
  <si>
    <t>Rovat megnevezése</t>
  </si>
  <si>
    <t>Kötelező feladatok</t>
  </si>
  <si>
    <t>Önként vállalt feladatok</t>
  </si>
  <si>
    <t>ÖSSZESEN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</si>
  <si>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</si>
  <si>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</si>
  <si>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</si>
  <si>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</si>
  <si>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</si>
  <si>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</si>
  <si>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</si>
  <si>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</si>
  <si>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</si>
  <si>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</si>
  <si>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</si>
  <si>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</si>
  <si>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</si>
  <si>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</si>
  <si>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</si>
  <si>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</si>
  <si>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</si>
  <si>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</si>
  <si>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</si>
  <si>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</si>
  <si>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</si>
  <si>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Rovat-szám</t>
  </si>
  <si>
    <t xml:space="preserve">Foglalkoztatottak személyi juttatásai </t>
  </si>
  <si>
    <t>K11</t>
  </si>
  <si>
    <t xml:space="preserve">Külső személyi juttatások </t>
  </si>
  <si>
    <t>K12</t>
  </si>
  <si>
    <t>Személyi juttatások összesen</t>
  </si>
  <si>
    <t>K1</t>
  </si>
  <si>
    <t xml:space="preserve">Munkaadókat terhelő járulékok és szociális hozzájárulási adó </t>
  </si>
  <si>
    <t>K2</t>
  </si>
  <si>
    <t xml:space="preserve">Készletbeszerzés </t>
  </si>
  <si>
    <t>K31</t>
  </si>
  <si>
    <t xml:space="preserve">Kommunikációs szolgáltatások </t>
  </si>
  <si>
    <t>K32</t>
  </si>
  <si>
    <t xml:space="preserve">Szolgáltatási kiadások </t>
  </si>
  <si>
    <t>K33</t>
  </si>
  <si>
    <t xml:space="preserve">Kiküldetések, reklám- és propagandakiadások </t>
  </si>
  <si>
    <t>K34</t>
  </si>
  <si>
    <t xml:space="preserve">Különféle befizetések és egyéb dologi kiadások </t>
  </si>
  <si>
    <t>K35</t>
  </si>
  <si>
    <t>Dologi kiadások összesen</t>
  </si>
  <si>
    <t>K3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</si>
  <si>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</si>
  <si>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</si>
  <si>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</si>
  <si>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</si>
  <si>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</si>
  <si>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</si>
  <si>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áht-n belülre</t>
  </si>
  <si>
    <t>K503</t>
  </si>
  <si>
    <t>Működési célú visszatérítendő támogatások, kölcsönök nyújtása áht-n belülre</t>
  </si>
  <si>
    <t>K504</t>
  </si>
  <si>
    <t>Működési célú visszatérítendő tám., kölcsönök törlesztése áht-n belülre</t>
  </si>
  <si>
    <t>K505</t>
  </si>
  <si>
    <t>Egyéb működési célú támogatások áht-n belülre</t>
  </si>
  <si>
    <t>K506</t>
  </si>
  <si>
    <t>Működési célú garancia- és kezességvállalásból származó kifizetés áht-n kívülre</t>
  </si>
  <si>
    <t>K507</t>
  </si>
  <si>
    <t>Működési célú visszatérítendő támogatások, kölcsönök nyújtása áht-n kívülre</t>
  </si>
  <si>
    <t>K508</t>
  </si>
  <si>
    <t>Árkiegészítések, ártámogatások</t>
  </si>
  <si>
    <t>K509</t>
  </si>
  <si>
    <t>Kamattámogatások</t>
  </si>
  <si>
    <t>K510</t>
  </si>
  <si>
    <t>Működési célú támogatások EU-nak</t>
  </si>
  <si>
    <t>K511</t>
  </si>
  <si>
    <t>Egyéb működési célú támogatások államháztartáson kívülre</t>
  </si>
  <si>
    <t>K512</t>
  </si>
  <si>
    <t>Tartalékok-általános</t>
  </si>
  <si>
    <t>K513</t>
  </si>
  <si>
    <t>Tartalékok-cél</t>
  </si>
  <si>
    <t>Egyéb működési célú kiadások összesen</t>
  </si>
  <si>
    <t>K5</t>
  </si>
  <si>
    <t>Működési költségvetés előirányzat csoport összesen</t>
  </si>
  <si>
    <t>K1+..+K5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</si>
  <si>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</si>
  <si>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</si>
  <si>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</si>
  <si>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</si>
  <si>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</si>
  <si>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</si>
  <si>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</si>
  <si>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</si>
  <si>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</si>
  <si>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</si>
  <si>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</si>
  <si>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</si>
  <si>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</si>
  <si>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</si>
  <si>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összesen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</si>
  <si>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</si>
  <si>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</si>
  <si>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</si>
  <si>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</si>
  <si>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</si>
  <si>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</si>
  <si>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</si>
  <si>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</si>
  <si>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</si>
  <si>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összesen</t>
  </si>
  <si>
    <t>K7</t>
  </si>
  <si>
    <t>Felhalmozási célú garancia- és kezességvállalásból kifizetés áht-n belülre</t>
  </si>
  <si>
    <t>K81</t>
  </si>
  <si>
    <t>Felhalmozási célú visszatérítendő tám., kölcsönök nyújtása áht-n belülre</t>
  </si>
  <si>
    <t>K82</t>
  </si>
  <si>
    <t>Felhalmozási célú visszatérítendő tám., kölcsönök törlesztése áht-n belülre</t>
  </si>
  <si>
    <t>K83</t>
  </si>
  <si>
    <t>Egyéb felhalmozási célú támogatások áht-n belülre</t>
  </si>
  <si>
    <t>K84</t>
  </si>
  <si>
    <t>Felhalmozási célú garancia- és kezességvállalásból kifizetés áht-n kívülre</t>
  </si>
  <si>
    <t>K85</t>
  </si>
  <si>
    <t>Felhalmozási célú visszatérítendő tám., kölcsönök nyújtása áht-n kívülre</t>
  </si>
  <si>
    <t>K86</t>
  </si>
  <si>
    <t>Lakástámogatás</t>
  </si>
  <si>
    <t>K87</t>
  </si>
  <si>
    <t xml:space="preserve">Felhalmozási célú támogatások az EU-nak </t>
  </si>
  <si>
    <t>K88</t>
  </si>
  <si>
    <t xml:space="preserve">Egyéb felhalmozási célú támogatások államháztartáson kívülre </t>
  </si>
  <si>
    <t>K89</t>
  </si>
  <si>
    <t>Egyéb felhalmozási célú kiadások összesen</t>
  </si>
  <si>
    <t>K8</t>
  </si>
  <si>
    <t>Felhalmozási költségvetés előirányzat csoport összesen</t>
  </si>
  <si>
    <t>K6+..+K8</t>
  </si>
  <si>
    <t>Költségvetési kiadások összesen</t>
  </si>
  <si>
    <t>K1+..+K8</t>
  </si>
  <si>
    <t>Hosszú lejáratú hitelek, kölcsönök törlesztése FELHALMOZÁSRA</t>
  </si>
  <si>
    <t>K9111</t>
  </si>
  <si>
    <t>Likviditási célú hitelek, kölcsönök törlesztése pénzügyi vállalkozásnak</t>
  </si>
  <si>
    <t>K9112</t>
  </si>
  <si>
    <t>Rövid lejáratú hitelek, kölcsönök törlesztése MŰKÖDÉSRE</t>
  </si>
  <si>
    <t>K9113</t>
  </si>
  <si>
    <t>Hitel-, kölcsöntörlesztés államháztartáson kívülre összesen</t>
  </si>
  <si>
    <t>K911</t>
  </si>
  <si>
    <t>Belföldi értékpapírok kiadásai összesen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</si>
  <si>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</si>
  <si>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</si>
  <si>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</si>
  <si>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</si>
  <si>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</si>
  <si>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</si>
  <si>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</si>
  <si>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</si>
  <si>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</si>
  <si>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</si>
  <si>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</si>
  <si>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</si>
  <si>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</si>
  <si>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Tulajdonosi kölcsönök kiadásai</t>
  </si>
  <si>
    <t>K919</t>
  </si>
  <si>
    <t>Belföldi finanszírozás kiadásai összesen</t>
  </si>
  <si>
    <t>K91</t>
  </si>
  <si>
    <t xml:space="preserve">Külföldi finanszírozás kiadásai </t>
  </si>
  <si>
    <t>K92</t>
  </si>
  <si>
    <t>Adóssághoz nem kapcsolódó származékos ügyletek kiadásai</t>
  </si>
  <si>
    <t>K93</t>
  </si>
  <si>
    <t>Váltókiadások</t>
  </si>
  <si>
    <t>K94</t>
  </si>
  <si>
    <t>Finanszírozási kiadások összesen</t>
  </si>
  <si>
    <t>K9</t>
  </si>
  <si>
    <t xml:space="preserve">KIADÁSOK ÖSSZESEN </t>
  </si>
  <si>
    <t>K1+..+K9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</si>
  <si>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</si>
  <si>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</si>
  <si>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</si>
  <si>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</si>
  <si>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</si>
  <si>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tám.</t>
  </si>
  <si>
    <t>B113</t>
  </si>
  <si>
    <t>Települési önkormányzatok kulturális feladatainak támogatása</t>
  </si>
  <si>
    <t>B114</t>
  </si>
  <si>
    <t>Működési célú költségvetési támogatások és kiegészítések</t>
  </si>
  <si>
    <t>B115</t>
  </si>
  <si>
    <t>Elszámolásból származó bevételek</t>
  </si>
  <si>
    <t>B116</t>
  </si>
  <si>
    <t>Önkormányzatok működési támogatásai összesen</t>
  </si>
  <si>
    <t>B11</t>
  </si>
  <si>
    <t>Elvonások és befizetések bevételei</t>
  </si>
  <si>
    <t>B12</t>
  </si>
  <si>
    <t>Működési célú garancia- és kezességvállalásból megtérül. áht-n belülről</t>
  </si>
  <si>
    <t>B13</t>
  </si>
  <si>
    <t>Működési célú visszatérítendő tám., kölcsönök visszatérülése áht-n belülről</t>
  </si>
  <si>
    <t>B14</t>
  </si>
  <si>
    <t>Működési célú visszatérítendő tám., kölcsönök igénybevétele áht-n belülről</t>
  </si>
  <si>
    <t>B15</t>
  </si>
  <si>
    <t>Egyéb működési célú támogatások bevételei államháztartáson belülről</t>
  </si>
  <si>
    <t>B16</t>
  </si>
  <si>
    <t>Működési célú támogatások államháztartáson belülről összesen</t>
  </si>
  <si>
    <t>B1</t>
  </si>
  <si>
    <t xml:space="preserve">Felhalmozási célú támogatások államháztartáson belülről </t>
  </si>
  <si>
    <t>B2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</si>
  <si>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</si>
  <si>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</si>
  <si>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</si>
  <si>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</si>
  <si>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</si>
  <si>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</si>
  <si>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</si>
  <si>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</si>
  <si>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Termékek és szolgáltatások adói </t>
  </si>
  <si>
    <t>B35</t>
  </si>
  <si>
    <t xml:space="preserve">Egyéb közhatalmi bevételek </t>
  </si>
  <si>
    <t>B36</t>
  </si>
  <si>
    <t>Közhatalmi bevételek összesen</t>
  </si>
  <si>
    <t>B3</t>
  </si>
  <si>
    <t>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</si>
  <si>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</si>
  <si>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</si>
  <si>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</si>
  <si>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</si>
  <si>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</si>
  <si>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</si>
  <si>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</si>
  <si>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</si>
  <si>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</si>
  <si>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</si>
  <si>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</si>
  <si>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</si>
  <si>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</si>
  <si>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</si>
  <si>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</si>
  <si>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</si>
  <si>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</si>
  <si>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</si>
  <si>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</si>
  <si>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</si>
  <si>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</si>
  <si>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>Működési bevételek összesen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</si>
  <si>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</si>
  <si>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</si>
  <si>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</si>
  <si>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</si>
  <si>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</si>
  <si>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</si>
  <si>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</si>
  <si>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</si>
  <si>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</si>
  <si>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</si>
  <si>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</si>
  <si>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összesen</t>
  </si>
  <si>
    <t>B5</t>
  </si>
  <si>
    <t xml:space="preserve">Működési célú átvett pénzeszközök </t>
  </si>
  <si>
    <t>B6</t>
  </si>
  <si>
    <t>Felhalm.célú garancia- és kezességvállalásból megtérülések áht-n kívülről</t>
  </si>
  <si>
    <t>B71</t>
  </si>
  <si>
    <t>Felhalm.célú visszatérítendő támogatások, kölcsönök visszatérülése EU-tól</t>
  </si>
  <si>
    <t>B72</t>
  </si>
  <si>
    <t>Felhalm.célú garancia- és kezességvállalásból származó megtérülések kormánytól és más nemzetközi szervezettől</t>
  </si>
  <si>
    <t>B73</t>
  </si>
  <si>
    <t>Felhalm.célú visszatérítendő tám., kölcsönök visszatérülése áht-n kívülről</t>
  </si>
  <si>
    <t>B74</t>
  </si>
  <si>
    <t>Egyéb felhalmozási célú átvett pénzeszközök</t>
  </si>
  <si>
    <t>B75</t>
  </si>
  <si>
    <t>Felhalmozási célú átvett pénzeszközök összesen</t>
  </si>
  <si>
    <t>B7</t>
  </si>
  <si>
    <t>Költségvetési bevételek összesen</t>
  </si>
  <si>
    <t>B1+..+B7</t>
  </si>
  <si>
    <t xml:space="preserve">  MŰKÖDÉSI költségvetési egyenleg (B1+B3+B4+B6) - (K1+K2+K3+K4+K5)</t>
  </si>
  <si>
    <t xml:space="preserve">  FELHALMOZÁSI költségvetési egyenleg (B2+B5+B7) - (K6+K7+K8)</t>
  </si>
  <si>
    <t>Hosszú lejáratú hitelek, kölcsönök felvétele FELHALMOZÁSRA</t>
  </si>
  <si>
    <t>B8111</t>
  </si>
  <si>
    <t>Likviditási célú hitelek, kölcsönök felvétele pénzügyi váll.-tól FELHALMO</t>
  </si>
  <si>
    <t>B8112</t>
  </si>
  <si>
    <t>Rövid lejáratú hitelek, kölcsönök felvétele  MŰKÖDÉSRE</t>
  </si>
  <si>
    <t>B8113</t>
  </si>
  <si>
    <t>Hitel-, kölcsönfelvétel pénzügyi vállalkozástól összesen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</si>
  <si>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</si>
  <si>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</si>
  <si>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</si>
  <si>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</si>
  <si>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</si>
  <si>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</si>
  <si>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</si>
  <si>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</si>
  <si>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</si>
  <si>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>Belföldi értékpapírok bevételei összesen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</si>
  <si>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</si>
  <si>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</si>
  <si>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</si>
  <si>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</si>
  <si>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</si>
  <si>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</si>
  <si>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</si>
  <si>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>Maradvány igénybevétele összesen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</si>
  <si>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</si>
  <si>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</si>
  <si>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</si>
  <si>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</si>
  <si>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</si>
  <si>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</si>
  <si>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</si>
  <si>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betétek megszüntetése</t>
  </si>
  <si>
    <t>B817</t>
  </si>
  <si>
    <t>Központi költségvetés sajátos finanszírozási bevételei</t>
  </si>
  <si>
    <t>B818</t>
  </si>
  <si>
    <t>Tulajdonosi kölcsönök bevételei</t>
  </si>
  <si>
    <t>B819</t>
  </si>
  <si>
    <t>Belföldi finanszírozás bevételei összesen</t>
  </si>
  <si>
    <t>B81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</si>
  <si>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</si>
  <si>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</si>
  <si>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</si>
  <si>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</si>
  <si>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</si>
  <si>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</si>
  <si>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összesen</t>
  </si>
  <si>
    <t>B8</t>
  </si>
  <si>
    <t xml:space="preserve">BEVÉTELEK ÖSSZESEN </t>
  </si>
  <si>
    <t>B1+..+B8</t>
  </si>
  <si>
    <t>Költségvetési hiány / többlet  (B1+..B7) - (K1+..+K8)</t>
  </si>
  <si>
    <t>Finanszírozási hiány / többlet  B8 - K9</t>
  </si>
  <si>
    <t>Működési hiány / többlet  (B1+B3+B4+B6+B8134+B8113) - (K1+K2+K3+K4+K5+K9113)</t>
  </si>
  <si>
    <t>Felhalmozási hiány / többlet (B2+B5+B7+B8111) - (K6+K7+K8+K9111)</t>
  </si>
  <si>
    <t>Bevétel - Kiadás</t>
  </si>
  <si>
    <t>Cofog:</t>
  </si>
  <si>
    <t>011220</t>
  </si>
  <si>
    <t>0934111</t>
  </si>
  <si>
    <t xml:space="preserve">építményadó </t>
  </si>
  <si>
    <t xml:space="preserve">épület után fizetett idegenforgalmi adó </t>
  </si>
  <si>
    <t>0934114</t>
  </si>
  <si>
    <t>magánszemélyek kommunális adója</t>
  </si>
  <si>
    <t>0934112</t>
  </si>
  <si>
    <t>telekadó</t>
  </si>
  <si>
    <t>Vagyoni típusú adók összesen</t>
  </si>
  <si>
    <t xml:space="preserve">Értékesítési és forgalmi adók </t>
  </si>
  <si>
    <t>B351</t>
  </si>
  <si>
    <t>09351121</t>
  </si>
  <si>
    <t>ebből: állandó jelleggel végzett iparűzési tevékenység után fizetett helyi iparűzési adó</t>
  </si>
  <si>
    <t>ebből: ideiglenes jelleggel végzett tevékenység után fizetett helyi iparűzési adó</t>
  </si>
  <si>
    <t>B354</t>
  </si>
  <si>
    <t>09354121</t>
  </si>
  <si>
    <t>ebből: külföldi gépjárművek adója</t>
  </si>
  <si>
    <t>ebből: gépjármű túlsúlydíj</t>
  </si>
  <si>
    <t xml:space="preserve">Egyéb áruhasználati és szolgáltatási adók  </t>
  </si>
  <si>
    <t>B355</t>
  </si>
  <si>
    <t>09355121</t>
  </si>
  <si>
    <t xml:space="preserve">ebből: tartózkodás után fizetett idegenforgalmi adó </t>
  </si>
  <si>
    <t>ebből: talajterhelési díj</t>
  </si>
  <si>
    <t>Termékek és szolgáltatások adói  összesen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</si>
  <si>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</si>
  <si>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</si>
  <si>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</si>
  <si>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</si>
  <si>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</si>
  <si>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</si>
  <si>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</si>
  <si>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szabálysértési pénz- és helyszíni bírság és a közlekedési szabályszegések után kiszabott közigazgatási bírság helyi önkormányzatot megillető része</t>
  </si>
  <si>
    <t>0936127</t>
  </si>
  <si>
    <t>egyéb bírság</t>
  </si>
  <si>
    <t>Egyéb közhatalmi bevételek összesen</t>
  </si>
  <si>
    <t>018010</t>
  </si>
  <si>
    <t>Önkormányzati hivatal működési támogatása</t>
  </si>
  <si>
    <t>Települési üzemeltetéshez kapcsolódó támogatás összesen</t>
  </si>
  <si>
    <t>A zöldterület-gazdálkodással kapcsolatos feladatok ellátásának támogatása</t>
  </si>
  <si>
    <t>Közvilágítás fenntartásának támogatása</t>
  </si>
  <si>
    <t>Köztemető fenntartással kapcsolatos feladatok támogatása</t>
  </si>
  <si>
    <t>Közutak fenntartásának támogatása</t>
  </si>
  <si>
    <t>Egyéb önkormányzati feladatok támogatása</t>
  </si>
  <si>
    <t>Határátkelőhelyek fenntartásának támogatása</t>
  </si>
  <si>
    <t>Lakott külterületi feladatok támogatása</t>
  </si>
  <si>
    <t>Üdülőhelyi feladatok támogatása</t>
  </si>
  <si>
    <t>091111</t>
  </si>
  <si>
    <t>Helyi önkormányzatok működésének általános támogatása összesen</t>
  </si>
  <si>
    <t>Óvodapedagógusok bértámogatása</t>
  </si>
  <si>
    <t>Óvodapedagógusok munkáját közvetlenül segítők bértámogatása</t>
  </si>
  <si>
    <t>Óvoda működtetési támogatás</t>
  </si>
  <si>
    <t>Óvodapedagógusok kiegészítő támogatása</t>
  </si>
  <si>
    <t>091121</t>
  </si>
  <si>
    <t>Települési önkormányzatok egyes köznevelési feladatainak támogatása összesen</t>
  </si>
  <si>
    <t>Szociális feladatok egyéb támogatása</t>
  </si>
  <si>
    <t>Család- és gyermekjóléti szolgálat</t>
  </si>
  <si>
    <t>Család- és gyermekjóléti központ</t>
  </si>
  <si>
    <t>Szociális étkeztetés</t>
  </si>
  <si>
    <t>Házi segítségnyújtás</t>
  </si>
  <si>
    <t>Időskorúak nappali intézményi ellátása</t>
  </si>
  <si>
    <t>Demens személyek nappali intézményi ellátása</t>
  </si>
  <si>
    <t>Pszichiátriai betegek ellátásának támogatása</t>
  </si>
  <si>
    <t>Szakmai dolgozók bértámogatás</t>
  </si>
  <si>
    <t>Intézmény üzemeltetési támogatása</t>
  </si>
  <si>
    <t>Gyermekétkeztetésben dolgozók bértámogatása</t>
  </si>
  <si>
    <t>Gyermekétkeztetés üzemeltetési támogatása</t>
  </si>
  <si>
    <r>
      <t xml:space="preserve">A rászoruló gyermekek intézményen </t>
    </r>
    <r>
      <rPr>
        <sz val="11"/>
        <rFont val="Times New Roman"/>
        <family val="1"/>
        <charset val="238"/>
      </rPr>
      <t>kívüli szünidei étkeztetésének tám.</t>
    </r>
  </si>
  <si>
    <t>091131</t>
  </si>
  <si>
    <t>Települési önkormányzatok szociális és gyermekjóléti  feladatainak támogatása összesen</t>
  </si>
  <si>
    <t>Könyvtár, közművelődés támogatás</t>
  </si>
  <si>
    <t>Könyvtári célú érdekeltségnövelő támogatás</t>
  </si>
  <si>
    <t>091141</t>
  </si>
  <si>
    <t>Települési önkormányzatok kulturális feladatainak támogatása összesen</t>
  </si>
  <si>
    <t>Lakossági víz és csatornaszolgáltatás támogatása</t>
  </si>
  <si>
    <t>Önkormányzatok működőképessége megőrzését szolgáló támogatás</t>
  </si>
  <si>
    <t>091151</t>
  </si>
  <si>
    <t>Működési célú költségvetési támogatások és kiegészítések összesen</t>
  </si>
  <si>
    <t>091161</t>
  </si>
  <si>
    <t xml:space="preserve"> </t>
  </si>
  <si>
    <t>Elszámolásból származó bevételek összesen</t>
  </si>
  <si>
    <t>Eredeti    előirányzat</t>
  </si>
  <si>
    <t>Kötelező feladat</t>
  </si>
  <si>
    <t>Önként vállalt feladat</t>
  </si>
  <si>
    <t>Működési célú visszatérítendő támogatások, kölcsönök visszatérülése államháztartáson belülről összesen</t>
  </si>
  <si>
    <t>011130</t>
  </si>
  <si>
    <t>Működési célú visszatérítendő támogatások, kölcsönök igénybevétele államháztartáson belülről összesen</t>
  </si>
  <si>
    <t>B16131</t>
  </si>
  <si>
    <t>Humánszolgáltatások fejlesztése Barcs térségében</t>
  </si>
  <si>
    <t xml:space="preserve">A Barcsi Járás Integrált gyermekprogramja </t>
  </si>
  <si>
    <t>09161311</t>
  </si>
  <si>
    <t>Fejezeti kezelésű előirányzatok EU-s programok és azok hazai társfinanszírozása összesen</t>
  </si>
  <si>
    <t>Önkormányzatok térítése Jelzőrendszeres házi segítségnyújtáshoz</t>
  </si>
  <si>
    <t>B1616</t>
  </si>
  <si>
    <t>Jelzőrendszeres házi segítségnyújtás támogatás pályázat</t>
  </si>
  <si>
    <t>0916161</t>
  </si>
  <si>
    <t>Helyi önkormányzatok és költségvetési szerveiktől összesen</t>
  </si>
  <si>
    <t>Egyéb működési célú támogatások bevételei államháztartáson belülről összesen</t>
  </si>
  <si>
    <t>0921</t>
  </si>
  <si>
    <t>B21</t>
  </si>
  <si>
    <t>Felhalmozási célú önkormányzati támogatások összesen</t>
  </si>
  <si>
    <t>Felhalmozási célú visszatérítendő támogatások, kölcsönök visszatérülése államháztartáson belülről összesen</t>
  </si>
  <si>
    <t>B23</t>
  </si>
  <si>
    <t>Felhalmozási célú visszatérítendő támogatások, kölcsönök igénybevétele államháztartáson belülről összesen</t>
  </si>
  <si>
    <t>B24</t>
  </si>
  <si>
    <t>B251</t>
  </si>
  <si>
    <t>Barcs-Drávaszentesi kerékpárút fejlesztés ÖNERŐALAP támogatás</t>
  </si>
  <si>
    <t>092511</t>
  </si>
  <si>
    <t>Központi költségvetési szervek összesen</t>
  </si>
  <si>
    <t>Barcsi Szociális Központ fejlesztése</t>
  </si>
  <si>
    <t>B252</t>
  </si>
  <si>
    <t>Barcs az élhető zöld város</t>
  </si>
  <si>
    <t>Központi konyha és étterem rekonstrukció (Gimnázium)</t>
  </si>
  <si>
    <t>Barcs Város Óvodája és Bölcsödéje Deák Ferenc utcai Tagóvodája felújítása</t>
  </si>
  <si>
    <t>Barcs-Drávatamási kerékpárút fejlesztés</t>
  </si>
  <si>
    <t>Barcs-Drávaszentesi kerékpárút fejlesztés</t>
  </si>
  <si>
    <t>Szociális városrehabilitáció (Észak-Nyugati városrész)</t>
  </si>
  <si>
    <t>Szociális városrehabilitáció (Klapka utcai városrész)</t>
  </si>
  <si>
    <t>Barcs központú agglomeráció szennyvíztisztításának fejlesztése</t>
  </si>
  <si>
    <t>0925131</t>
  </si>
  <si>
    <t>Egyéb felhalmozási célú támogatások bevételei államháztartáson belülről összesen</t>
  </si>
  <si>
    <t>B25</t>
  </si>
  <si>
    <t>Felhalmozási célú támogatások államháztartáson belülről összesen</t>
  </si>
  <si>
    <t>Működési célú visszatérítendő támogatások, kölcsönök visszatérülése EU-tól összesen</t>
  </si>
  <si>
    <t>B62</t>
  </si>
  <si>
    <t>Működési célú visszatérítendő támogatások, kölcsönök visszatérülése kormánytól és más nemzetközi szervezettől összen</t>
  </si>
  <si>
    <t>B63</t>
  </si>
  <si>
    <t>Felhalmozási célú visszatérítendő támogatások, kölcsönök visszatérülése EU-tól összesen</t>
  </si>
  <si>
    <t>Felhalmozási célú visszatérítendő támogatások, kölcsönök visszatérülése kormánytól és más nemzetközi szervezettől összen</t>
  </si>
  <si>
    <t>0981311</t>
  </si>
  <si>
    <t>Előző év költségvetési maradványának igénybevétele FELHALMOZÁSRA  összesen</t>
  </si>
  <si>
    <t>Immateriális javak értékesítése összesen</t>
  </si>
  <si>
    <t>013350</t>
  </si>
  <si>
    <t>0952131 1</t>
  </si>
  <si>
    <t>Önkormányzati ingatlanok értékesítése</t>
  </si>
  <si>
    <t>0952121</t>
  </si>
  <si>
    <t>Építési telkek értékesítése</t>
  </si>
  <si>
    <t>0952131 2</t>
  </si>
  <si>
    <t>Otthonházi lakások értékesítése</t>
  </si>
  <si>
    <t>0952131 3</t>
  </si>
  <si>
    <t>Önkormányzati bérlakások értékesítése</t>
  </si>
  <si>
    <t>Ingatlanok értékesítése összesen</t>
  </si>
  <si>
    <t>095313</t>
  </si>
  <si>
    <t>Egyéb tárgyi eszközök értékesítése összesen</t>
  </si>
  <si>
    <t>Részesedések értékesítése összesen</t>
  </si>
  <si>
    <t>Részesedések megszűnéséhez kapcsolódó bevételek összesen</t>
  </si>
  <si>
    <t>Felhalmozási bevételek mindösszesen</t>
  </si>
  <si>
    <t>056111</t>
  </si>
  <si>
    <t>Immateriális javak beszerzése, létesítése összesen</t>
  </si>
  <si>
    <t>0562133</t>
  </si>
  <si>
    <t>Ingatlanok beszerzése, létesítése  összesen</t>
  </si>
  <si>
    <t>Informatikai eszközök beszerzése, létesítése összesen</t>
  </si>
  <si>
    <t>056411</t>
  </si>
  <si>
    <t xml:space="preserve">Barcsi Gyógyfürdő és Rekreációs Központ gázmotoros rendszer kialakítása </t>
  </si>
  <si>
    <t>A Barcsi Járás Integrált gyermekprogramja eszközbeszerzés</t>
  </si>
  <si>
    <t>Egyéb tárgyi eszközök beszerzése, létesítése összesen</t>
  </si>
  <si>
    <t>Részesedések beszerzése összesen</t>
  </si>
  <si>
    <t>Meglévő részesedések növeléséhez kapcsolódó kiadások összesen</t>
  </si>
  <si>
    <t>Barcs Város területén közvilágítás bővítések ÁFA</t>
  </si>
  <si>
    <t>056711</t>
  </si>
  <si>
    <t>Beruházási célú előzetesen felszámított általános forgalmi adó összesen</t>
  </si>
  <si>
    <t>Beruházások mindösszesen</t>
  </si>
  <si>
    <t>0571133 18</t>
  </si>
  <si>
    <t>0571133 2</t>
  </si>
  <si>
    <t>0571133 19</t>
  </si>
  <si>
    <t>0571133 20</t>
  </si>
  <si>
    <t>0571133 21</t>
  </si>
  <si>
    <t>Ingatlanok felújítása összesen</t>
  </si>
  <si>
    <t>Informatikai eszközök felújítása összesen</t>
  </si>
  <si>
    <t>057311</t>
  </si>
  <si>
    <t>Egyéb tárgyi eszközök felújítása összesen</t>
  </si>
  <si>
    <t>Kerékpárbarát közlekedési rendszer kialakítása ÁFA</t>
  </si>
  <si>
    <t>057412 2</t>
  </si>
  <si>
    <t>Barcsi Szociális Központ fejlesztése ÁFA</t>
  </si>
  <si>
    <t>057412 20</t>
  </si>
  <si>
    <t>Központi konyha és étterem rekonstrukció (Gimnázium) ÁFA</t>
  </si>
  <si>
    <t>057412 18</t>
  </si>
  <si>
    <t>Barcs az élhető zöld város ÁFA</t>
  </si>
  <si>
    <t>057412 14</t>
  </si>
  <si>
    <t>Szociális városrehabilitáció (Észak-Nyugati városrész) ÁFA</t>
  </si>
  <si>
    <t>Szociális városrehabilitáció (Klapka utcai városrész) ÁFA</t>
  </si>
  <si>
    <t>Barcs-Drávatamási kerékpárút fejlesztés ÁFA</t>
  </si>
  <si>
    <t>Barcs-Drávaszentesi kerékpárút fejlesztés ÁFA</t>
  </si>
  <si>
    <t>Barcs központú agglomeráció szennyvíztisztításának fejlesztése ÁFA</t>
  </si>
  <si>
    <t>057412</t>
  </si>
  <si>
    <t>Felújítási célú előzetesen felszámított  ÁFA összesen</t>
  </si>
  <si>
    <t>Felújítások mindösszesen</t>
  </si>
  <si>
    <t>Felhalmozási kiadások mindösszesen:</t>
  </si>
  <si>
    <t>K6+K7</t>
  </si>
  <si>
    <t>Megnevezés</t>
  </si>
  <si>
    <t>Összesen</t>
  </si>
  <si>
    <t>0551311 1</t>
  </si>
  <si>
    <t>Önkormányzat általános gazdálkodási tartaléka működési célra</t>
  </si>
  <si>
    <t>Önkormányzat általános gazdálkodási tartaléka felhalmozási célra</t>
  </si>
  <si>
    <t>Általános tartalékok mindösszesen</t>
  </si>
  <si>
    <t>0551311 2</t>
  </si>
  <si>
    <t>Oktatási, Művelődési, Sport Bizottság</t>
  </si>
  <si>
    <t>0551311 3</t>
  </si>
  <si>
    <t>Jogi, Egészségügyi, Szociálpolitikai Bizottság</t>
  </si>
  <si>
    <t>0551311 4</t>
  </si>
  <si>
    <t>0551311 7</t>
  </si>
  <si>
    <t>Polgármester saját hatáskör</t>
  </si>
  <si>
    <t xml:space="preserve"> Céltartalék működési célra összesen</t>
  </si>
  <si>
    <t xml:space="preserve"> Céltartalék felhalmozási célra összesen</t>
  </si>
  <si>
    <t>Céltartalékok mindösszesen</t>
  </si>
  <si>
    <t>0551311</t>
  </si>
  <si>
    <t>Tartalékok mindösszesen:</t>
  </si>
  <si>
    <t>Kötelező</t>
  </si>
  <si>
    <t xml:space="preserve">Önként vállalt </t>
  </si>
  <si>
    <t>Önként vállalt</t>
  </si>
  <si>
    <t>Eredeti e.i</t>
  </si>
  <si>
    <t>Módosított e.i</t>
  </si>
  <si>
    <t>Kötelező feladatok összesen</t>
  </si>
  <si>
    <t>Önként vállalt feladatok összesen</t>
  </si>
  <si>
    <t xml:space="preserve"> Mind-összesen</t>
  </si>
  <si>
    <t>011130 Önkormányzatok és önkormányzati hivatalok jogalkotó és általános igazgatási tevékenysége</t>
  </si>
  <si>
    <t>013350 Az önkormányzati vagyonnal való gazdálkodással kapcsolatos feladatok</t>
  </si>
  <si>
    <t>013320 Köztemető-fenntartás és -működtetés</t>
  </si>
  <si>
    <t>041120  Földügy igazgatása</t>
  </si>
  <si>
    <t>045160     Közutak, hidak, alagutak üzemeltetése, fenntartása</t>
  </si>
  <si>
    <t>047410 Ár- és belvízvédelemmel összefüggő tevékenységek</t>
  </si>
  <si>
    <t>051030 Nem veszélyes (települési) hulladék vegyes (ömlesztett) begyűjtése, szállítása, átrakása</t>
  </si>
  <si>
    <t>063020  Víztermelés, -kezelés, -ellátás</t>
  </si>
  <si>
    <t>066020  Város-, községgazdálkodási egyéb szolgáltatások</t>
  </si>
  <si>
    <t>064010  Közvilágítás</t>
  </si>
  <si>
    <t>081030 Sportlétesítmények, edzőtáborok működtetése és fejlesztése</t>
  </si>
  <si>
    <t>081043 Iskolai, diáksport-tevékenység és támogatása</t>
  </si>
  <si>
    <t>081045  Szabadidősport- (rekreációs sport-) tevékenység és támogatása</t>
  </si>
  <si>
    <t>094260   Hallgatói és oktatói ösztöndíjak, egyéb juttatások</t>
  </si>
  <si>
    <t>046020    Vezetékes műsorelosztás, városi és kábeltelevíziós rendszerek</t>
  </si>
  <si>
    <t>045140     Városi és elővárosi közúti személyszállítás</t>
  </si>
  <si>
    <t>081041 Versenysport- és utánpótlás-nevelési tevékenység és támogatása</t>
  </si>
  <si>
    <t>082091 Közművelődés – közösségi és társadalmi részvétel fejlesztése</t>
  </si>
  <si>
    <t>084020 Nemzetiségi közfeladatok ellátása és támogatása</t>
  </si>
  <si>
    <t>084031 Civil szervezetek működési támogatása</t>
  </si>
  <si>
    <t>084040  Egyházak közösségi és hitéleti tevékenységének támogatása</t>
  </si>
  <si>
    <t xml:space="preserve">Munkaadókat terhelő járulékok és szociális hozzájárulási adó                                                                            </t>
  </si>
  <si>
    <t>Műk. célú garancia- és kezességváll.-ból származó kif. áht-n belülre</t>
  </si>
  <si>
    <t>Műk. célú visszatérítendő tám., kölcsönök nyújtása áht-n belülre</t>
  </si>
  <si>
    <t>Működési célú visszatérítendő tám., kölcsönök törl. áht-n belülre</t>
  </si>
  <si>
    <t>Műk.célú garancia- és kezességváll.-ból származó kif. áht-n kívülre</t>
  </si>
  <si>
    <t>Működési célú visszatérítendő tám., kölcs. nyújtása áht-n kívülre</t>
  </si>
  <si>
    <t>Felhalm. célú garancia- és kezességváll. származó kifiz. áht-n belülre</t>
  </si>
  <si>
    <t>Felhalm. célú visszatérítendő tám., kölcsönök nyújtása áht-n belülre</t>
  </si>
  <si>
    <t>Felhalm. célú visszatérítendő tám., kölcsönök törlesztése áht-n belülre</t>
  </si>
  <si>
    <t>Felhalm. célú garancia- és kezességváll. származó kif. és áht-n kívülre</t>
  </si>
  <si>
    <t>Felhalmozási célú visszatérítendő tám., kölcs. nyújtása áht-n kívülre</t>
  </si>
  <si>
    <t xml:space="preserve">Belföldi finanszírozás kiadásai </t>
  </si>
  <si>
    <t xml:space="preserve">Önkormányzatok működési támogatásai </t>
  </si>
  <si>
    <t>Működési célú garancia- és kezességvállalásból származó megtérül. áht-n belülről</t>
  </si>
  <si>
    <t>Működési célú visszatérítendő támogatások, kölcsönök visszatérülése áht-n belülről</t>
  </si>
  <si>
    <t>Működési célú visszatérítendő támogatások, kölcsönök igénybevétele áht-n belülről</t>
  </si>
  <si>
    <t>Áru- és készletértékesítés ellenértéke</t>
  </si>
  <si>
    <t>Felhalm.célú garancia- és kezességvállalásból származó megtérülések áht-n kívülről</t>
  </si>
  <si>
    <t>Felhalm.célú visszatérítendő tám., kölcsönök visszatérülése EU-tól</t>
  </si>
  <si>
    <t>Felhalm.célú visszatérítendő támogatások, kölcsönök visszatérülése áht-n kívülről</t>
  </si>
  <si>
    <t xml:space="preserve">Hitel-, kölcsönfelvétel államháztartáson kívülről </t>
  </si>
  <si>
    <t xml:space="preserve">Belföldi értékpapírok bevételei </t>
  </si>
  <si>
    <t>Előző év költségvetési maradványának igénybevétele FELHALM.</t>
  </si>
  <si>
    <t>Előző év vállalkozási maradványának igénybevétele FELHALM.</t>
  </si>
  <si>
    <t>ebből Állami támogatás</t>
  </si>
  <si>
    <t>Önkormányzati hozzájárulás</t>
  </si>
  <si>
    <t>Működési célú visszatérítendő támogatások, kölcsönök törlesztése áht-n belülre</t>
  </si>
  <si>
    <t>Működési célú támogatás EU-nak</t>
  </si>
  <si>
    <t>Felhalmozási célú garancia- és kezességvállalásból  kifizetés áht-n belülre</t>
  </si>
  <si>
    <t>Felhalmozási célú visszatérítendő támogatások, kölcsönök nyújtása áht-n belülre</t>
  </si>
  <si>
    <t>Felhalmozási célú támogatás EU-nak</t>
  </si>
  <si>
    <t>018030</t>
  </si>
  <si>
    <t>0591512 1</t>
  </si>
  <si>
    <t>ebből Állami támogatás és egyéb támogatás</t>
  </si>
  <si>
    <t xml:space="preserve"> Városgazdálkodási Igazgatóság</t>
  </si>
  <si>
    <t>0591512 2</t>
  </si>
  <si>
    <t>0591512 8</t>
  </si>
  <si>
    <t>0591512 3</t>
  </si>
  <si>
    <t>0591512 4</t>
  </si>
  <si>
    <t>Móricz Zsigmond Művelődési Központ és Dráva Közérdekű Múzeális kiállítóhely</t>
  </si>
  <si>
    <t>0591512 5</t>
  </si>
  <si>
    <t>0591512 6</t>
  </si>
  <si>
    <t>15.melléklet</t>
  </si>
  <si>
    <t>Foglalkoztatottak létszáma</t>
  </si>
  <si>
    <t xml:space="preserve">Költségvetési engedélyezett létszámkeret (álláshely) (fő) </t>
  </si>
  <si>
    <t>Sor- szám</t>
  </si>
  <si>
    <t>MEGNEVEZÉS</t>
  </si>
  <si>
    <t>Barcs Város Önkormányzata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</si>
  <si>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</si>
  <si>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</si>
  <si>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</si>
  <si>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</si>
  <si>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 (1+..+4)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</si>
  <si>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</si>
  <si>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</si>
  <si>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</si>
  <si>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Gyakornok</t>
  </si>
  <si>
    <t>Pedagógus I.</t>
  </si>
  <si>
    <t>Pedagógus II.</t>
  </si>
  <si>
    <t>Mester pedagógus</t>
  </si>
  <si>
    <t>"A", "B" fizetési  osztály összesen</t>
  </si>
  <si>
    <t>"C", "D" fizetési osztály  összesen</t>
  </si>
  <si>
    <t>"E"-"J"  fizetési  osztály  összesen</t>
  </si>
  <si>
    <t>Pedagógus (magasabb) vezetői megbízással</t>
  </si>
  <si>
    <t>KÖZALKALMAZOTTAK ÖSSZESEN (6+..+16)</t>
  </si>
  <si>
    <t>fizikai alkalmazott, a költségvetési szerveknél foglalkoztatott egyéb munkavállaló  (fizikai alkalmazott)</t>
  </si>
  <si>
    <t>ösztöndíjas foglalkoztatott</t>
  </si>
  <si>
    <t>közfoglalkoztatott</t>
  </si>
  <si>
    <t>Munka Törvénykönyve vezetőkre vonatkozó rendelkezései alapján foglalkoztatott vezető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</si>
  <si>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</si>
  <si>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</si>
  <si>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</si>
  <si>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>16.melléklet</t>
  </si>
  <si>
    <t>Eredeti ei.</t>
  </si>
  <si>
    <t>Módosított ei.</t>
  </si>
  <si>
    <t>Települési támogatás</t>
  </si>
  <si>
    <t xml:space="preserve">Lakhatási támogatás [Szoctv. 45. § ] </t>
  </si>
  <si>
    <t xml:space="preserve">Ápolási díj méltányos  [Szoctv. 43/B. §]  </t>
  </si>
  <si>
    <t>Gyógyszerkiadás támogatás</t>
  </si>
  <si>
    <t>Rendkívüli települési támogatás</t>
  </si>
  <si>
    <t>Átmeneti segély [Szoctv. 45.§]</t>
  </si>
  <si>
    <t>Méltányossági támogatás</t>
  </si>
  <si>
    <t>Temetési segély [Szoctv. 46.§]</t>
  </si>
  <si>
    <t xml:space="preserve">Rendkívüli gyermekvédelmi támogatás [Gyvt. 21.§] </t>
  </si>
  <si>
    <t>Köztemetés [Szoctv. 48.§]</t>
  </si>
  <si>
    <t>Közlekedési támogatás</t>
  </si>
  <si>
    <t>Lakbértámogatás 24/2003.(XI.28) önk. Rendelet 3.§</t>
  </si>
  <si>
    <t xml:space="preserve">Rendszeres gyermekvédelmi kedvezményben részesülők támogatása [Gyvt. 20/A.§] </t>
  </si>
  <si>
    <t>Ellátottak pénzbeli juttatásai mindösszesen</t>
  </si>
  <si>
    <t>Dologi</t>
  </si>
  <si>
    <t>051512 3</t>
  </si>
  <si>
    <t>Segély finanszírozás dologival együtt</t>
  </si>
  <si>
    <t>107060</t>
  </si>
  <si>
    <t>17.melléklet</t>
  </si>
  <si>
    <t>900060</t>
  </si>
  <si>
    <t xml:space="preserve"> Kiadások megnevezés</t>
  </si>
  <si>
    <t>05911111 1</t>
  </si>
  <si>
    <t>05911111 2</t>
  </si>
  <si>
    <t>05911111 3</t>
  </si>
  <si>
    <t>Hosszú lejáratú hitelek, kölcsönök törlesztése  összesen</t>
  </si>
  <si>
    <t>ebből: pénzügyi vállalkozás</t>
  </si>
  <si>
    <t>ebből: fedezeti ügyletek nettó kiadásai</t>
  </si>
  <si>
    <t>05911312</t>
  </si>
  <si>
    <t>Rövid lejáratú hitelek, kölcsönök törlesztése  összesen</t>
  </si>
  <si>
    <t xml:space="preserve">Forgatási célú belföldi értékpapírok vásárlása </t>
  </si>
  <si>
    <t>K9121</t>
  </si>
  <si>
    <t>ebből: befektetési jegyek</t>
  </si>
  <si>
    <t>ebből: kárpótlási jegyek</t>
  </si>
  <si>
    <t>Forgatási célú belföldi értékpapírok beváltása</t>
  </si>
  <si>
    <t>K9122</t>
  </si>
  <si>
    <t>Befektetési célú belföldi értékpapírok vásárlása</t>
  </si>
  <si>
    <t>K9123</t>
  </si>
  <si>
    <t>K9124</t>
  </si>
  <si>
    <t>Befektetési célú belföldi értékpapírok beváltása FELHALMOZÁSRA összesen</t>
  </si>
  <si>
    <t>Pénzeszközök betétként elhelyezése</t>
  </si>
  <si>
    <t>Forgatási célú külföldi értékpapírok vásárlása</t>
  </si>
  <si>
    <t>K921</t>
  </si>
  <si>
    <t>Befektetési célú külföldi értékpapírok vásárlása</t>
  </si>
  <si>
    <t>K922</t>
  </si>
  <si>
    <t xml:space="preserve">Külföldi értékpapírok beváltása </t>
  </si>
  <si>
    <t>K923</t>
  </si>
  <si>
    <t>Külföldi hitelek, kölcsönök törlesztése</t>
  </si>
  <si>
    <t>K924</t>
  </si>
  <si>
    <t>ebből: nemzetközi fejlesztési szervezetek</t>
  </si>
  <si>
    <t>ebből: más kormányok</t>
  </si>
  <si>
    <t>ebből: külföldi pénzintézetek</t>
  </si>
  <si>
    <t>Külföldi finanszírozás kiadásai összesen</t>
  </si>
  <si>
    <t>Bevételek megnevezés</t>
  </si>
  <si>
    <t>09811111 1</t>
  </si>
  <si>
    <t>09811111 2</t>
  </si>
  <si>
    <t>Hosszú lejáratú hitelek, kölcsönök felvétele FELHALMOZÁSRA összesen</t>
  </si>
  <si>
    <t>Likviditási célú hitelek, kölcsönök felvétele pénzügyi vállalkozástól</t>
  </si>
  <si>
    <t>09811312</t>
  </si>
  <si>
    <t>Rövid lejáratú hitelek, kölcsönök felvétele MŰKÖDÉSRE összesen</t>
  </si>
  <si>
    <t>Hitel-, kölcsönfelvétel államháztartáson kívülről összesen</t>
  </si>
  <si>
    <t xml:space="preserve">Forgatási célú belföldi értékpapírok beváltása, értékesítése </t>
  </si>
  <si>
    <t>Forgatási célú belföldi értékpapírok kibocsátása</t>
  </si>
  <si>
    <t xml:space="preserve">Befektetési célú belföldi értékpapírok beváltása, értékesítése </t>
  </si>
  <si>
    <t>Befektetési célú belföldi értékpapírok kibocsátása</t>
  </si>
  <si>
    <t>Betétek megszüntetése</t>
  </si>
  <si>
    <t xml:space="preserve">Központi költségvetés sajátos finanszírozási bevételei </t>
  </si>
  <si>
    <t>ebből: tulajdonosi kölcsönök visszatérülése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</si>
  <si>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</si>
  <si>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</si>
  <si>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</si>
  <si>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</si>
  <si>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</si>
  <si>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</si>
  <si>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</si>
  <si>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</si>
  <si>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összesen</t>
  </si>
  <si>
    <t>Helyi adó, egyéb közhatalmi bevételek és a működési támogatások (Ft)</t>
  </si>
  <si>
    <t>Polgármesteri illetmény támogatása</t>
  </si>
  <si>
    <t>Bölcsődei üzemeltetés támogatás</t>
  </si>
  <si>
    <t>Bölcsődei dajka, nevelő,szaktanácsadók bértámogatása</t>
  </si>
  <si>
    <t>"88lakás" földszintjének megvásárlása</t>
  </si>
  <si>
    <t>Kiadások - Bevételek (Ft)</t>
  </si>
  <si>
    <t>Az egységes rovatrend szerint a kiemelt kiadási és bevételi jogcímek ( Ft)</t>
  </si>
  <si>
    <t>Támogatások, kölcsönök bevételei és a felhalmozási bevételek (Ft)</t>
  </si>
  <si>
    <t>Beruházások és felújítások (Ft)</t>
  </si>
  <si>
    <t>Általános- és céltartalékok (Ft)</t>
  </si>
  <si>
    <t>vezető, igazgató, elnök, igazgató-helyettes, elnök-helyettes, hivatalvezető, hivatalvezető-helyettes, a költségvetési szerveknél foglalkoztatott egyéb munkavállaló (vezető)</t>
  </si>
  <si>
    <t>felsőfokú végzettségű, a költségvetési szerveknél foglalkoztatott egyéb munkavállaló (nem vezető)</t>
  </si>
  <si>
    <t>középfokú végzettségű, a költségvetési szerveknél foglalkoztatott egyéb munkavállaló (nem vezető)</t>
  </si>
  <si>
    <t>EGYÉB BÉRRENDSZER ÖSSZESEN (18+..+24)</t>
  </si>
  <si>
    <t>VÁLASZTOTT TISZTSÉGVISELŐK ÖSSZESEN (26+..+28)</t>
  </si>
  <si>
    <t>KÖLTSÉGVETÉSI ENGEDÉLYEZETT LÉTSZÁMKERETBE TARTOZÓ FOGLALKOZTATOTTAK LÉTSZÁMA MINDÖSSZESEN (5+17+25+29)</t>
  </si>
  <si>
    <t>Barcsi Gyógyfürdő és Rekreációs Központ gázmotoros rendszer  ÁFA</t>
  </si>
  <si>
    <t>Lakosságnak juttatott támogatások, szociális, rászorultsági jellegű ellátások (Ft)</t>
  </si>
  <si>
    <t>Iparterület infrastruktúrális fejlesztése</t>
  </si>
  <si>
    <t>Gyerekesély program infrastruktúrális hátterének biztosítása</t>
  </si>
  <si>
    <t>Gyerekesély program infrastruktúrális hátterének biztosítása ÁFA</t>
  </si>
  <si>
    <t>Iparterület infrastruktúrális fejlesztése ÁFA</t>
  </si>
  <si>
    <t>Barcs Város Óvodája és Bölcsödéje Deák Ferenc utcai Tagóvodája  ÁFA</t>
  </si>
  <si>
    <t>Humán szolgáltatások fejlesztése Barcson eszközbeszerzés</t>
  </si>
  <si>
    <t>A költségvetési hiány külső finanszírozására vagy a költségvetési többlet felhasználására szolgáló finanszírozási bevételek és kiadások  (Ft)</t>
  </si>
  <si>
    <t>Előző év költségvetési maradványának  FELHALMOZÁSRA</t>
  </si>
  <si>
    <t>A belföldi gépjárművek adójának a helyi önkormányzatot megillető része</t>
  </si>
  <si>
    <t>Barcsi Helyi Közösség -Közös Többszörös (Színház , Múzeum felújítás)</t>
  </si>
  <si>
    <t>Barcsi Helyi Közösség -Közös Többszörös (Színház,  Múzeum felújítás) ÁFA</t>
  </si>
  <si>
    <t>Folyószámlahitel</t>
  </si>
  <si>
    <t>Óvodai és iskolai szociális segítő tevékenység támogatása</t>
  </si>
  <si>
    <t>talajterhelési díj</t>
  </si>
  <si>
    <t>A Barcsi Járás Integrált gyermekprogramja eszközbeszerzés ÁFA</t>
  </si>
  <si>
    <t>Barcsi Helyi Közösség -Közös Többszörös (Színház , Múzeum felújítás)ÁFA</t>
  </si>
  <si>
    <t>Kiegyenlítő bérrendezési alapból nyújtható támogatás</t>
  </si>
  <si>
    <t>Az európai uniós forrásból finanszírozott támogatással megvalósuló programok, projektek kiadásai, bevételei, valamint a helyi önkormányzat ilyen projektekhez történő hozzájárulásai (Ft)</t>
  </si>
  <si>
    <t>EFOP-1.5.3-16-2017-00055 ”Kultúrák összefogása a közösségért”        537</t>
  </si>
  <si>
    <t>TOP-5.1.2-15-SO1-2016-00001 Foglalkoztatási Paktum Barcs és térségében         525</t>
  </si>
  <si>
    <t>TOP-4.3.1-15-SO1-2016-00002 Barcs Klapka utcai szegregátum rehabilitációja           517</t>
  </si>
  <si>
    <t>TOP-2.1.2-16-SO1-2017-00001 Zöld város fejlesztés Barcson         541</t>
  </si>
  <si>
    <t>TOP-7.1.1-16 -2016-00016 Közös Többszörös      529</t>
  </si>
  <si>
    <t>TOP-3.1.1-15-SO1-2016-00009 Kerékpáros hálózat fejlesztése Barcson        516</t>
  </si>
  <si>
    <t>TOP-1.1.1-16-SO1-2017-00005 Zöldmezős iparterület infrastrukturális fejlesztése Barcson           540</t>
  </si>
  <si>
    <t>EFOP-1.4.2-16-2016-00004 Kezünkben a JÖVŐ- a barcsi járás integrált gyermek programja              531</t>
  </si>
  <si>
    <t>Kerékpáros hálózat fejlesztése Barcson</t>
  </si>
  <si>
    <t>05841</t>
  </si>
  <si>
    <t>K841</t>
  </si>
  <si>
    <t xml:space="preserve">K84 </t>
  </si>
  <si>
    <t>Egyéb felhalmozási célú támogatások államháztartáson belülre összesen:</t>
  </si>
  <si>
    <t>Szociális, téli rezsicsökkentéssel kapcsolatos tűzifa juttatás</t>
  </si>
  <si>
    <t>Szociális, téli rezsicsökkentéssel kapcsolatos tűzifa juttatás ÁFA</t>
  </si>
  <si>
    <t>K312</t>
  </si>
  <si>
    <t>K351</t>
  </si>
  <si>
    <t>Módosított e.i.</t>
  </si>
  <si>
    <t>MINDÖSSZESEN</t>
  </si>
  <si>
    <t>Barcs Város Önkormányzata 2020. évi költségvetése</t>
  </si>
  <si>
    <t xml:space="preserve"> 2020. évi költségvetése</t>
  </si>
  <si>
    <t>Barcs belterületi út pályázat 2020 év</t>
  </si>
  <si>
    <t>Pénzügyi</t>
  </si>
  <si>
    <t xml:space="preserve">Városfejlesztési Bizottság </t>
  </si>
  <si>
    <t>OK 2020.01.15</t>
  </si>
  <si>
    <t>OK 2020.01.17</t>
  </si>
  <si>
    <t>OK 2020.01.20</t>
  </si>
  <si>
    <t>OK 2020.01.21</t>
  </si>
  <si>
    <t>TOP-1.4.1-19 Napsugár Bölcsöde fejlesztése</t>
  </si>
  <si>
    <t>Sóraktár turisztikai hasznosítása</t>
  </si>
  <si>
    <t>Barcs belterületi út pályázat 2020 év ÁFA</t>
  </si>
  <si>
    <t>Sóraktár turisztikai hasznosítása ÁFA</t>
  </si>
  <si>
    <t>Sóraktár turisztikai hasznosítása eszközbeszerzés</t>
  </si>
  <si>
    <t>Sóraktár turisztikai hasznosítása eszközbeszerzés Áfa</t>
  </si>
  <si>
    <t>TOP-1.4.1-19 Napsugár Bölcsöde fejlesztése Áfa</t>
  </si>
  <si>
    <t>EU-s</t>
  </si>
  <si>
    <t>EU- 19. tábla</t>
  </si>
  <si>
    <t>Deák Ferenc Ált. iskola sportcsarnok felújítása</t>
  </si>
  <si>
    <t>Táncsics u. vasúti átjáró felújítása</t>
  </si>
  <si>
    <t>Bem József utca aszfaltozása</t>
  </si>
  <si>
    <t>Ady Endre utca aszfaltozása</t>
  </si>
  <si>
    <t>Deák Ferenc Ált. iskola sportcsarnok felújítása ÁFA</t>
  </si>
  <si>
    <t>Táncsics u. vasúti átjáró felújítása ÁFA</t>
  </si>
  <si>
    <t>Bem József utca aszfaltozása ÁFA</t>
  </si>
  <si>
    <t>Ady Endre utca aszfaltozása ÁFA</t>
  </si>
  <si>
    <t>Iparterület infrastruktúrális fejlesztéséhez ingatlan vásárlás</t>
  </si>
  <si>
    <t>Barcs-Drávatamási kerékpárút fejlesztéshez ingatlan vásárlás</t>
  </si>
  <si>
    <t>Steora standard okospad 2 db</t>
  </si>
  <si>
    <t>Steora standard okospad 2 db ÁFA</t>
  </si>
  <si>
    <t>Barcsi gyalogátkelők kiemelt megvilágítás tervezése és kivitelezése</t>
  </si>
  <si>
    <t>Peugeot gépjármű értékesítése</t>
  </si>
  <si>
    <t>Ford kisbusz vásárlás</t>
  </si>
  <si>
    <t>Ford kisbusz vásárlás ÁFA</t>
  </si>
  <si>
    <t>Iparterület infrastruktúrális fejlesztéséhez gázhálózat bővítési hozzájárulás</t>
  </si>
  <si>
    <t>Iparterület infrastruktúrális fejlesztéséhez villamos hálózat bővítési hozzájárulás</t>
  </si>
  <si>
    <t>Iparterület infrastruktúrális fejlesztéséhez gázhálózat bővítési hozzájárulás ÁFA</t>
  </si>
  <si>
    <t>Iparterület infrastruktúrális fejlesztéséhez villamos hálózat bővítési hozzájárulás ÁFA</t>
  </si>
  <si>
    <t>Deák Ferenc Ált. iskola sportcsarnok felújításatámogatás</t>
  </si>
  <si>
    <t>Kerékpárbarát közlekedési rendszer kialakítása Barcson</t>
  </si>
  <si>
    <t>Iparterület infrastruktúrális fejlesztéséhez ingatlan vásárlás Pályázatból</t>
  </si>
  <si>
    <t>a 2/2020.(II.27. ) önkormányzati rendelethez</t>
  </si>
  <si>
    <t>05481</t>
  </si>
  <si>
    <t>05441</t>
  </si>
  <si>
    <t>05421</t>
  </si>
  <si>
    <t xml:space="preserve"> TOP-4.3.1-15-SO1-2016-00003 Barcs északnyugati városrész infrastrukturális fejlesztése                       524</t>
  </si>
  <si>
    <t>Barcs szennyvíztisztitó fejlesztés                         530</t>
  </si>
  <si>
    <t>Barcs Drávaszentes kerékpárút                       544</t>
  </si>
  <si>
    <t>Barcs Drávatamási kerékpárút                       515</t>
  </si>
  <si>
    <t>TOP-3.2.2-15-SO1-2016-00002 A barcsi fürdő gázmotoros energetikai fejlesztése                         518</t>
  </si>
  <si>
    <t xml:space="preserve"> EFOP-2.1.2-16-2017-00004 A Barcsi járás integrált térségi gyerekprogramjához szükséges infrastruktúra kialakítása                              538</t>
  </si>
  <si>
    <t>Szociális ágazati pótlék</t>
  </si>
  <si>
    <t>Kulturális illetmény pótlék</t>
  </si>
  <si>
    <t>Bérkompenzáció</t>
  </si>
  <si>
    <t>"Barcs Összetartozás" emlékmű</t>
  </si>
  <si>
    <t>"Barcs Összetartozás" emlékmű ÁFA</t>
  </si>
  <si>
    <t>Sóraktár túrisztikai célú hasznosítása                    539</t>
  </si>
  <si>
    <t>TOP-1.4.1-19 Napsugár Bölcsöde fejlesztése            548</t>
  </si>
  <si>
    <t>Előző évi elszámolás alapján pót támogatás</t>
  </si>
  <si>
    <t>Mobilitási hét támogatása</t>
  </si>
  <si>
    <t>Mammográfiás szûrés támogatás</t>
  </si>
  <si>
    <t xml:space="preserve">Barcs Város Önkormányzata </t>
  </si>
  <si>
    <t>C Í M R E N D J E</t>
  </si>
  <si>
    <t>Móricz Zsigmond Művelődési Központ és Dráva Közérdekű Muzeális kiállítóhely</t>
  </si>
  <si>
    <t>18. melléklet</t>
  </si>
  <si>
    <t>A többéves kihatással járó döntések számszerűsítése évenkénti bontásban és összesítve (Ft)</t>
  </si>
  <si>
    <t>Kötelezettségek megnevezése</t>
  </si>
  <si>
    <t>Kötelezettség-vállalás éve</t>
  </si>
  <si>
    <t>Tárgyév előtti kifizetés</t>
  </si>
  <si>
    <t>2020. évi kifizetés</t>
  </si>
  <si>
    <t>2021. évi kifizetés</t>
  </si>
  <si>
    <t>2022. évi kifizetések</t>
  </si>
  <si>
    <t>2023. évi kifizetések</t>
  </si>
  <si>
    <t>2024. év utáni kifizetések</t>
  </si>
  <si>
    <t>Működési célú hiteltörlesztések összesen:</t>
  </si>
  <si>
    <t>Felhalmozási célú hiteltörlesztések</t>
  </si>
  <si>
    <t>88 lakás földszintjének megvásárlása</t>
  </si>
  <si>
    <t>Beruházások összesen:</t>
  </si>
  <si>
    <t>Felújítások összesen:</t>
  </si>
  <si>
    <t>MINDÖSSZESEN:</t>
  </si>
  <si>
    <t>20. melléklet</t>
  </si>
  <si>
    <t>Barcs Város Önkormányzata 2020. évi közvetett támogatásai</t>
  </si>
  <si>
    <t>A támogatás kedvezményezettje</t>
  </si>
  <si>
    <t>Kedvezmény</t>
  </si>
  <si>
    <t>jogcíme (jellege)</t>
  </si>
  <si>
    <t>kérelmek száma (db)</t>
  </si>
  <si>
    <t>összege (Ft)</t>
  </si>
  <si>
    <t>Tulajdonos</t>
  </si>
  <si>
    <t>Magánszemélyek kommunális adója</t>
  </si>
  <si>
    <t>Helyi rendelet, szociális helyzet (törvény alapján)</t>
  </si>
  <si>
    <t>Gépjárműadó</t>
  </si>
  <si>
    <t>Szociális helyzet (törvény alapján)</t>
  </si>
  <si>
    <t>Telekadó</t>
  </si>
  <si>
    <t>Építményadó</t>
  </si>
  <si>
    <t>Talajterhelési díj</t>
  </si>
  <si>
    <t>Késedelmi pótlék</t>
  </si>
  <si>
    <t>Bírság</t>
  </si>
  <si>
    <t>Szemétszállítási díj</t>
  </si>
  <si>
    <t>Helyi rendeletben meghatározott mentességek alapján</t>
  </si>
  <si>
    <t>Összesen:</t>
  </si>
  <si>
    <t>21. melléklet</t>
  </si>
  <si>
    <t>A helyi önkormányzat költségvetési mérlege közgazdasági tagolásban (E Ft)</t>
  </si>
  <si>
    <t>2018. évi    teljesítés</t>
  </si>
  <si>
    <t>2019. évi várható teljesítés</t>
  </si>
  <si>
    <t>2020. évi eredeti ei.</t>
  </si>
  <si>
    <t>Felhalmozási célú garancia- és kezességvállalásból származó kifizetés áht-n belülre</t>
  </si>
  <si>
    <t>Felhalmozási célú visszatérítendő támogatások, kölcsönök törlesztése áht-n belülre</t>
  </si>
  <si>
    <t>Felhalmozási célú garancia- és kezességvállalásból származó kifizetés áht-n kívülre</t>
  </si>
  <si>
    <t>Felhalmozási célú visszatérítendő támogatások, kölcsönök nyújtása áht-n kívülre</t>
  </si>
  <si>
    <t>Települési önkormányzatok szociális és gyermekjóléti  feladatainak támogatása</t>
  </si>
  <si>
    <t>22. melléklet</t>
  </si>
  <si>
    <t>Előirányzat felhasználási terv (E Ft)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</si>
  <si>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</si>
  <si>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</si>
  <si>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</si>
  <si>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</si>
  <si>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</si>
  <si>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</si>
  <si>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</si>
  <si>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</si>
  <si>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</si>
  <si>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</si>
  <si>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</si>
  <si>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</si>
  <si>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Munkaadókat terhelő járulékok és szociális hozzájárulási adó                   </t>
  </si>
  <si>
    <t>Központi, irányító szervi támogatások folyósítása működési és felhalm.célra</t>
  </si>
  <si>
    <t>23. melléklet</t>
  </si>
  <si>
    <t>A költségvetési évet követő három év tervezett előirányzatainak keretszámai főbb csoportokban (eFt)</t>
  </si>
  <si>
    <t>2020. évi terv</t>
  </si>
  <si>
    <t>2021. évi terv</t>
  </si>
  <si>
    <t>2022. évi terv</t>
  </si>
  <si>
    <t>2023. évi terv</t>
  </si>
  <si>
    <t>Ezt!</t>
  </si>
  <si>
    <r>
      <t xml:space="preserve">1.melléklet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</t>
    </r>
  </si>
  <si>
    <r>
      <t xml:space="preserve">2.melléklet </t>
    </r>
    <r>
      <rPr>
        <b/>
        <vertAlign val="superscript"/>
        <sz val="11"/>
        <color indexed="8"/>
        <rFont val="Times New Roman"/>
        <family val="1"/>
        <charset val="238"/>
      </rPr>
      <t>(1)</t>
    </r>
  </si>
  <si>
    <r>
      <t>3.melléklet</t>
    </r>
    <r>
      <rPr>
        <b/>
        <vertAlign val="superscript"/>
        <sz val="12"/>
        <color indexed="8"/>
        <rFont val="Times New Roman"/>
        <family val="1"/>
        <charset val="238"/>
      </rPr>
      <t xml:space="preserve"> (1)</t>
    </r>
  </si>
  <si>
    <r>
      <t xml:space="preserve">4.melléklet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</si>
  <si>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r>
      <t xml:space="preserve">5.melléklet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</si>
  <si>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r>
      <t xml:space="preserve">6.melléklet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</si>
  <si>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r>
      <t xml:space="preserve">7.melléklet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</si>
  <si>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r>
      <t>8.melléklet</t>
    </r>
    <r>
      <rPr>
        <b/>
        <vertAlign val="superscript"/>
        <sz val="12"/>
        <color indexed="8"/>
        <rFont val="Times New Roman"/>
        <family val="1"/>
        <charset val="238"/>
      </rPr>
      <t xml:space="preserve">  (1)</t>
    </r>
  </si>
  <si>
    <r>
      <t xml:space="preserve">9.melléklet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</si>
  <si>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r>
      <t>10.melléklet</t>
    </r>
    <r>
      <rPr>
        <b/>
        <vertAlign val="superscript"/>
        <sz val="12"/>
        <color indexed="8"/>
        <rFont val="Times New Roman"/>
        <family val="1"/>
        <charset val="238"/>
      </rPr>
      <t xml:space="preserve"> (1)</t>
    </r>
  </si>
  <si>
    <r>
      <t xml:space="preserve">11.melléklet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</si>
  <si>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r>
      <t xml:space="preserve">12.melléklet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</si>
  <si>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r>
      <t xml:space="preserve">13. 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</si>
  <si>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r>
      <t xml:space="preserve">14.melléklet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</si>
  <si>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r>
      <t xml:space="preserve">19. 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</si>
</sst>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t_-;\-* #,##0.00\ _F_t_-;_-* \-??\ _F_t_-;_-@_-"/>
    <numFmt numFmtId="165" formatCode="\ ##########"/>
    <numFmt numFmtId="166" formatCode="0__"/>
    <numFmt numFmtId="167" formatCode="#,###"/>
    <numFmt numFmtId="168" formatCode="yyyy/\ mmmm;@"/>
    <numFmt numFmtId="169" formatCode="#,##0.0"/>
  </numFmts>
  <fonts count="81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Bookman Old Style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4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1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u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indexed="8"/>
      <name val="Calibri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8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8"/>
      <color rgb="FF424242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Times New Roman"/>
      <family val="1"/>
      <charset val="238"/>
    </font>
    <font>
      <sz val="8"/>
      <name val="Calibri"/>
      <family val="2"/>
      <charset val="238"/>
    </font>
    <font>
      <i/>
      <sz val="12"/>
      <color indexed="63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10"/>
      <name val="Bookman Old Style"/>
      <family val="1"/>
      <charset val="238"/>
    </font>
    <font>
      <sz val="11"/>
      <name val="Calibri"/>
      <family val="2"/>
      <charset val="238"/>
    </font>
    <font>
      <b/>
      <vertAlign val="superscript"/>
      <sz val="11"/>
      <color indexed="8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2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21" borderId="2" applyNumberFormat="0" applyAlignment="0" applyProtection="0"/>
    <xf numFmtId="0" fontId="10" fillId="0" borderId="0" applyNumberFormat="0" applyFill="0" applyBorder="0" applyAlignment="0" applyProtection="0"/>
    <xf numFmtId="164" fontId="6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7" borderId="1" applyNumberFormat="0" applyAlignment="0" applyProtection="0"/>
    <xf numFmtId="0" fontId="63" fillId="22" borderId="7" applyNumberForma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2" fillId="4" borderId="0" applyNumberFormat="0" applyBorder="0" applyAlignment="0" applyProtection="0"/>
    <xf numFmtId="0" fontId="14" fillId="20" borderId="8" applyNumberFormat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9" fillId="0" borderId="0"/>
    <xf numFmtId="0" fontId="63" fillId="22" borderId="7" applyNumberFormat="0" applyAlignment="0" applyProtection="0"/>
    <xf numFmtId="0" fontId="14" fillId="20" borderId="8" applyNumberFormat="0" applyAlignment="0" applyProtection="0"/>
    <xf numFmtId="0" fontId="2" fillId="3" borderId="0" applyNumberFormat="0" applyBorder="0" applyAlignment="0" applyProtection="0"/>
    <xf numFmtId="0" fontId="15" fillId="23" borderId="0" applyNumberFormat="0" applyBorder="0" applyAlignment="0" applyProtection="0"/>
    <xf numFmtId="0" fontId="4" fillId="20" borderId="1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/>
    <xf numFmtId="0" fontId="18" fillId="0" borderId="0"/>
    <xf numFmtId="0" fontId="16" fillId="0" borderId="0"/>
  </cellStyleXfs>
  <cellXfs count="616">
    <xf numFmtId="0" fontId="0" fillId="0" borderId="0" xfId="0"/>
    <xf numFmtId="0" fontId="22" fillId="0" borderId="0" xfId="0" applyFont="1" applyAlignment="1">
      <alignment horizontal="center" wrapText="1"/>
    </xf>
    <xf numFmtId="0" fontId="24" fillId="0" borderId="0" xfId="0" applyFont="1"/>
    <xf numFmtId="3" fontId="24" fillId="0" borderId="0" xfId="0" applyNumberFormat="1" applyFont="1"/>
    <xf numFmtId="0" fontId="25" fillId="0" borderId="0" xfId="0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0" xfId="0" applyFont="1" applyBorder="1"/>
    <xf numFmtId="3" fontId="24" fillId="0" borderId="10" xfId="0" applyNumberFormat="1" applyFont="1" applyBorder="1"/>
    <xf numFmtId="3" fontId="25" fillId="0" borderId="10" xfId="0" applyNumberFormat="1" applyFont="1" applyBorder="1"/>
    <xf numFmtId="0" fontId="25" fillId="0" borderId="10" xfId="0" applyFont="1" applyBorder="1"/>
    <xf numFmtId="0" fontId="25" fillId="0" borderId="0" xfId="0" applyFont="1"/>
    <xf numFmtId="0" fontId="25" fillId="11" borderId="10" xfId="0" applyFont="1" applyFill="1" applyBorder="1"/>
    <xf numFmtId="3" fontId="25" fillId="11" borderId="10" xfId="0" applyNumberFormat="1" applyFont="1" applyFill="1" applyBorder="1"/>
    <xf numFmtId="0" fontId="29" fillId="0" borderId="0" xfId="0" applyFont="1"/>
    <xf numFmtId="0" fontId="30" fillId="0" borderId="0" xfId="0" applyFont="1"/>
    <xf numFmtId="3" fontId="29" fillId="0" borderId="0" xfId="0" applyNumberFormat="1" applyFont="1"/>
    <xf numFmtId="3" fontId="30" fillId="0" borderId="0" xfId="0" applyNumberFormat="1" applyFont="1"/>
    <xf numFmtId="0" fontId="31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3" fontId="22" fillId="0" borderId="0" xfId="0" applyNumberFormat="1" applyFont="1" applyAlignment="1">
      <alignment wrapText="1"/>
    </xf>
    <xf numFmtId="3" fontId="24" fillId="0" borderId="0" xfId="0" applyNumberFormat="1" applyFont="1" applyAlignment="1">
      <alignment wrapText="1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3" fontId="24" fillId="0" borderId="0" xfId="0" applyNumberFormat="1" applyFont="1" applyAlignment="1">
      <alignment horizontal="center" wrapText="1"/>
    </xf>
    <xf numFmtId="3" fontId="25" fillId="0" borderId="0" xfId="0" applyNumberFormat="1" applyFont="1" applyAlignment="1">
      <alignment horizontal="center" wrapText="1"/>
    </xf>
    <xf numFmtId="0" fontId="33" fillId="0" borderId="0" xfId="0" applyFont="1"/>
    <xf numFmtId="0" fontId="25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3" fontId="25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vertical="center" wrapText="1"/>
    </xf>
    <xf numFmtId="165" fontId="24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165" fontId="25" fillId="0" borderId="10" xfId="0" applyNumberFormat="1" applyFont="1" applyBorder="1" applyAlignment="1">
      <alignment vertical="center"/>
    </xf>
    <xf numFmtId="0" fontId="25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34" fillId="24" borderId="10" xfId="0" applyFont="1" applyFill="1" applyBorder="1"/>
    <xf numFmtId="165" fontId="25" fillId="24" borderId="10" xfId="0" applyNumberFormat="1" applyFont="1" applyFill="1" applyBorder="1" applyAlignment="1">
      <alignment vertical="center"/>
    </xf>
    <xf numFmtId="3" fontId="25" fillId="24" borderId="10" xfId="0" applyNumberFormat="1" applyFont="1" applyFill="1" applyBorder="1"/>
    <xf numFmtId="166" fontId="24" fillId="0" borderId="10" xfId="0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25" fillId="10" borderId="10" xfId="0" applyFont="1" applyFill="1" applyBorder="1" applyAlignment="1">
      <alignment horizontal="left" vertical="center"/>
    </xf>
    <xf numFmtId="165" fontId="25" fillId="10" borderId="10" xfId="0" applyNumberFormat="1" applyFont="1" applyFill="1" applyBorder="1" applyAlignment="1">
      <alignment vertical="center"/>
    </xf>
    <xf numFmtId="3" fontId="25" fillId="10" borderId="10" xfId="0" applyNumberFormat="1" applyFont="1" applyFill="1" applyBorder="1"/>
    <xf numFmtId="3" fontId="23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3" fillId="10" borderId="10" xfId="0" applyFont="1" applyFill="1" applyBorder="1" applyAlignment="1">
      <alignment horizontal="left" vertical="center"/>
    </xf>
    <xf numFmtId="0" fontId="25" fillId="10" borderId="10" xfId="0" applyFont="1" applyFill="1" applyBorder="1" applyAlignment="1">
      <alignment horizontal="left" vertical="center" wrapText="1"/>
    </xf>
    <xf numFmtId="3" fontId="23" fillId="10" borderId="10" xfId="0" applyNumberFormat="1" applyFont="1" applyFill="1" applyBorder="1" applyAlignment="1">
      <alignment horizontal="right" vertical="center"/>
    </xf>
    <xf numFmtId="3" fontId="25" fillId="0" borderId="0" xfId="0" applyNumberFormat="1" applyFont="1"/>
    <xf numFmtId="0" fontId="23" fillId="10" borderId="10" xfId="0" applyFont="1" applyFill="1" applyBorder="1" applyAlignment="1">
      <alignment horizontal="left" vertical="center" wrapText="1"/>
    </xf>
    <xf numFmtId="0" fontId="32" fillId="5" borderId="10" xfId="0" applyFont="1" applyFill="1" applyBorder="1" applyAlignment="1">
      <alignment horizontal="left" indent="2"/>
    </xf>
    <xf numFmtId="0" fontId="32" fillId="5" borderId="10" xfId="0" applyFont="1" applyFill="1" applyBorder="1" applyAlignment="1">
      <alignment horizontal="left" vertical="center"/>
    </xf>
    <xf numFmtId="3" fontId="32" fillId="5" borderId="10" xfId="0" applyNumberFormat="1" applyFont="1" applyFill="1" applyBorder="1"/>
    <xf numFmtId="0" fontId="24" fillId="0" borderId="0" xfId="0" applyFont="1" applyAlignment="1">
      <alignment horizontal="right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0" fontId="25" fillId="20" borderId="10" xfId="0" applyFont="1" applyFill="1" applyBorder="1" applyAlignment="1">
      <alignment horizontal="left" vertical="center" wrapText="1"/>
    </xf>
    <xf numFmtId="0" fontId="25" fillId="20" borderId="10" xfId="0" applyFont="1" applyFill="1" applyBorder="1" applyAlignment="1">
      <alignment horizontal="left" vertical="center"/>
    </xf>
    <xf numFmtId="3" fontId="25" fillId="20" borderId="10" xfId="0" applyNumberFormat="1" applyFont="1" applyFill="1" applyBorder="1"/>
    <xf numFmtId="0" fontId="24" fillId="20" borderId="0" xfId="0" applyFont="1" applyFill="1"/>
    <xf numFmtId="0" fontId="39" fillId="0" borderId="10" xfId="0" applyFont="1" applyBorder="1" applyAlignment="1">
      <alignment horizontal="left" vertical="center" wrapText="1" indent="2"/>
    </xf>
    <xf numFmtId="0" fontId="39" fillId="0" borderId="10" xfId="0" applyFont="1" applyBorder="1" applyAlignment="1">
      <alignment horizontal="left" vertical="center" wrapText="1"/>
    </xf>
    <xf numFmtId="3" fontId="38" fillId="0" borderId="10" xfId="0" applyNumberFormat="1" applyFont="1" applyBorder="1"/>
    <xf numFmtId="0" fontId="21" fillId="0" borderId="10" xfId="0" applyFont="1" applyBorder="1" applyAlignment="1">
      <alignment horizontal="left" vertical="center" wrapText="1" indent="1"/>
    </xf>
    <xf numFmtId="0" fontId="21" fillId="0" borderId="10" xfId="79" applyFont="1" applyBorder="1" applyAlignment="1">
      <alignment horizontal="left" vertical="center" wrapText="1" indent="2"/>
    </xf>
    <xf numFmtId="3" fontId="24" fillId="0" borderId="10" xfId="0" applyNumberFormat="1" applyFont="1" applyBorder="1" applyAlignment="1">
      <alignment horizontal="right"/>
    </xf>
    <xf numFmtId="10" fontId="25" fillId="20" borderId="0" xfId="0" applyNumberFormat="1" applyFont="1" applyFill="1"/>
    <xf numFmtId="0" fontId="21" fillId="0" borderId="10" xfId="0" applyFont="1" applyBorder="1" applyAlignment="1">
      <alignment horizontal="left" indent="2"/>
    </xf>
    <xf numFmtId="0" fontId="38" fillId="0" borderId="0" xfId="0" applyFont="1"/>
    <xf numFmtId="0" fontId="38" fillId="0" borderId="10" xfId="0" applyFont="1" applyBorder="1" applyAlignment="1">
      <alignment horizontal="left" vertical="center"/>
    </xf>
    <xf numFmtId="3" fontId="24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left" vertical="center" wrapText="1" indent="1"/>
    </xf>
    <xf numFmtId="0" fontId="32" fillId="20" borderId="10" xfId="0" applyFont="1" applyFill="1" applyBorder="1" applyAlignment="1">
      <alignment horizontal="left" vertical="center"/>
    </xf>
    <xf numFmtId="3" fontId="32" fillId="20" borderId="10" xfId="0" applyNumberFormat="1" applyFont="1" applyFill="1" applyBorder="1"/>
    <xf numFmtId="3" fontId="32" fillId="0" borderId="10" xfId="0" applyNumberFormat="1" applyFont="1" applyBorder="1"/>
    <xf numFmtId="0" fontId="25" fillId="20" borderId="11" xfId="0" applyFont="1" applyFill="1" applyBorder="1" applyAlignment="1">
      <alignment horizontal="left" vertical="center" wrapText="1"/>
    </xf>
    <xf numFmtId="0" fontId="25" fillId="20" borderId="11" xfId="0" applyFont="1" applyFill="1" applyBorder="1" applyAlignment="1">
      <alignment horizontal="left" vertical="center"/>
    </xf>
    <xf numFmtId="3" fontId="25" fillId="20" borderId="11" xfId="0" applyNumberFormat="1" applyFont="1" applyFill="1" applyBorder="1"/>
    <xf numFmtId="0" fontId="21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/>
    </xf>
    <xf numFmtId="3" fontId="24" fillId="0" borderId="12" xfId="0" applyNumberFormat="1" applyFont="1" applyBorder="1"/>
    <xf numFmtId="0" fontId="24" fillId="0" borderId="12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23" fillId="20" borderId="10" xfId="0" applyFont="1" applyFill="1" applyBorder="1" applyAlignment="1">
      <alignment horizontal="left" vertical="center" wrapText="1"/>
    </xf>
    <xf numFmtId="3" fontId="21" fillId="0" borderId="10" xfId="79" applyNumberFormat="1" applyFont="1" applyBorder="1" applyAlignment="1" applyProtection="1">
      <alignment horizontal="right" vertical="center" wrapText="1"/>
      <protection locked="0"/>
    </xf>
    <xf numFmtId="0" fontId="32" fillId="20" borderId="10" xfId="0" applyFont="1" applyFill="1" applyBorder="1"/>
    <xf numFmtId="0" fontId="32" fillId="0" borderId="10" xfId="0" applyFont="1" applyBorder="1"/>
    <xf numFmtId="0" fontId="43" fillId="0" borderId="0" xfId="0" applyFont="1"/>
    <xf numFmtId="0" fontId="44" fillId="0" borderId="0" xfId="0" applyFont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28" fillId="0" borderId="0" xfId="0" applyFont="1"/>
    <xf numFmtId="0" fontId="24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wrapText="1"/>
    </xf>
    <xf numFmtId="0" fontId="44" fillId="0" borderId="10" xfId="0" applyFont="1" applyBorder="1" applyAlignment="1">
      <alignment wrapText="1"/>
    </xf>
    <xf numFmtId="0" fontId="43" fillId="20" borderId="0" xfId="0" applyFont="1" applyFill="1"/>
    <xf numFmtId="0" fontId="21" fillId="0" borderId="10" xfId="79" applyFont="1" applyBorder="1" applyAlignment="1">
      <alignment horizontal="left" vertical="center" wrapText="1" indent="3"/>
    </xf>
    <xf numFmtId="0" fontId="31" fillId="20" borderId="10" xfId="0" applyFont="1" applyFill="1" applyBorder="1" applyAlignment="1">
      <alignment horizontal="left" vertical="center" wrapText="1" indent="1"/>
    </xf>
    <xf numFmtId="0" fontId="45" fillId="20" borderId="10" xfId="0" applyFont="1" applyFill="1" applyBorder="1"/>
    <xf numFmtId="3" fontId="45" fillId="20" borderId="10" xfId="0" applyNumberFormat="1" applyFont="1" applyFill="1" applyBorder="1"/>
    <xf numFmtId="0" fontId="45" fillId="20" borderId="0" xfId="0" applyFont="1" applyFill="1"/>
    <xf numFmtId="0" fontId="42" fillId="0" borderId="0" xfId="0" applyFont="1"/>
    <xf numFmtId="0" fontId="46" fillId="0" borderId="0" xfId="0" applyFont="1"/>
    <xf numFmtId="0" fontId="46" fillId="0" borderId="0" xfId="0" applyFont="1" applyAlignment="1">
      <alignment horizontal="right"/>
    </xf>
    <xf numFmtId="3" fontId="46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47" fillId="0" borderId="0" xfId="0" applyFont="1"/>
    <xf numFmtId="0" fontId="42" fillId="0" borderId="0" xfId="0" applyFont="1" applyAlignment="1">
      <alignment horizontal="center"/>
    </xf>
    <xf numFmtId="0" fontId="28" fillId="0" borderId="0" xfId="0" applyFont="1" applyAlignment="1">
      <alignment horizontal="center" vertical="top" wrapText="1"/>
    </xf>
    <xf numFmtId="0" fontId="42" fillId="0" borderId="10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vertical="center" wrapText="1"/>
    </xf>
    <xf numFmtId="165" fontId="42" fillId="0" borderId="10" xfId="0" applyNumberFormat="1" applyFont="1" applyBorder="1" applyAlignment="1">
      <alignment vertical="center"/>
    </xf>
    <xf numFmtId="3" fontId="42" fillId="0" borderId="10" xfId="0" applyNumberFormat="1" applyFont="1" applyBorder="1"/>
    <xf numFmtId="3" fontId="42" fillId="0" borderId="12" xfId="0" applyNumberFormat="1" applyFont="1" applyBorder="1"/>
    <xf numFmtId="3" fontId="44" fillId="0" borderId="10" xfId="0" applyNumberFormat="1" applyFont="1" applyBorder="1"/>
    <xf numFmtId="0" fontId="42" fillId="0" borderId="10" xfId="0" applyFont="1" applyBorder="1"/>
    <xf numFmtId="0" fontId="42" fillId="0" borderId="10" xfId="0" applyFont="1" applyBorder="1" applyAlignment="1">
      <alignment horizontal="left" vertical="center" wrapText="1"/>
    </xf>
    <xf numFmtId="0" fontId="42" fillId="20" borderId="0" xfId="0" applyFont="1" applyFill="1"/>
    <xf numFmtId="0" fontId="44" fillId="20" borderId="10" xfId="0" applyFont="1" applyFill="1" applyBorder="1" applyAlignment="1">
      <alignment vertical="center" wrapText="1"/>
    </xf>
    <xf numFmtId="165" fontId="44" fillId="20" borderId="10" xfId="0" applyNumberFormat="1" applyFont="1" applyFill="1" applyBorder="1" applyAlignment="1">
      <alignment vertical="center"/>
    </xf>
    <xf numFmtId="3" fontId="44" fillId="20" borderId="10" xfId="0" applyNumberFormat="1" applyFont="1" applyFill="1" applyBorder="1"/>
    <xf numFmtId="0" fontId="44" fillId="20" borderId="10" xfId="0" applyFont="1" applyFill="1" applyBorder="1" applyAlignment="1">
      <alignment horizontal="left" vertical="center" wrapText="1"/>
    </xf>
    <xf numFmtId="3" fontId="42" fillId="20" borderId="10" xfId="0" applyNumberFormat="1" applyFont="1" applyFill="1" applyBorder="1"/>
    <xf numFmtId="3" fontId="42" fillId="20" borderId="12" xfId="0" applyNumberFormat="1" applyFont="1" applyFill="1" applyBorder="1"/>
    <xf numFmtId="0" fontId="48" fillId="20" borderId="10" xfId="0" applyFont="1" applyFill="1" applyBorder="1" applyAlignment="1">
      <alignment horizontal="left" vertical="center" wrapText="1"/>
    </xf>
    <xf numFmtId="0" fontId="49" fillId="0" borderId="10" xfId="0" applyFont="1" applyBorder="1" applyAlignment="1">
      <alignment vertical="center" wrapText="1"/>
    </xf>
    <xf numFmtId="0" fontId="49" fillId="0" borderId="10" xfId="0" applyFont="1" applyBorder="1" applyAlignment="1">
      <alignment vertical="center"/>
    </xf>
    <xf numFmtId="0" fontId="50" fillId="24" borderId="10" xfId="0" applyFont="1" applyFill="1" applyBorder="1"/>
    <xf numFmtId="165" fontId="44" fillId="24" borderId="10" xfId="0" applyNumberFormat="1" applyFont="1" applyFill="1" applyBorder="1" applyAlignment="1">
      <alignment vertical="center"/>
    </xf>
    <xf numFmtId="3" fontId="44" fillId="24" borderId="10" xfId="0" applyNumberFormat="1" applyFont="1" applyFill="1" applyBorder="1"/>
    <xf numFmtId="166" fontId="42" fillId="0" borderId="10" xfId="0" applyNumberFormat="1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4" fillId="20" borderId="10" xfId="0" applyFont="1" applyFill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4" fillId="10" borderId="10" xfId="0" applyFont="1" applyFill="1" applyBorder="1" applyAlignment="1">
      <alignment horizontal="left" vertical="center"/>
    </xf>
    <xf numFmtId="165" fontId="44" fillId="10" borderId="10" xfId="0" applyNumberFormat="1" applyFont="1" applyFill="1" applyBorder="1" applyAlignment="1">
      <alignment vertical="center"/>
    </xf>
    <xf numFmtId="3" fontId="44" fillId="10" borderId="10" xfId="0" applyNumberFormat="1" applyFont="1" applyFill="1" applyBorder="1"/>
    <xf numFmtId="0" fontId="49" fillId="0" borderId="10" xfId="0" applyFont="1" applyBorder="1" applyAlignment="1">
      <alignment horizontal="left" vertical="center"/>
    </xf>
    <xf numFmtId="3" fontId="48" fillId="0" borderId="10" xfId="0" applyNumberFormat="1" applyFont="1" applyBorder="1" applyAlignment="1">
      <alignment horizontal="right" vertical="center"/>
    </xf>
    <xf numFmtId="3" fontId="49" fillId="0" borderId="10" xfId="0" applyNumberFormat="1" applyFont="1" applyBorder="1" applyAlignment="1">
      <alignment horizontal="right" vertical="center" wrapText="1"/>
    </xf>
    <xf numFmtId="0" fontId="48" fillId="10" borderId="10" xfId="0" applyFont="1" applyFill="1" applyBorder="1" applyAlignment="1">
      <alignment horizontal="left" vertical="center"/>
    </xf>
    <xf numFmtId="0" fontId="44" fillId="10" borderId="10" xfId="0" applyFont="1" applyFill="1" applyBorder="1" applyAlignment="1">
      <alignment horizontal="left" vertical="center" wrapText="1"/>
    </xf>
    <xf numFmtId="3" fontId="48" fillId="10" borderId="10" xfId="0" applyNumberFormat="1" applyFont="1" applyFill="1" applyBorder="1" applyAlignment="1">
      <alignment horizontal="right" vertical="center"/>
    </xf>
    <xf numFmtId="0" fontId="44" fillId="11" borderId="10" xfId="0" applyFont="1" applyFill="1" applyBorder="1"/>
    <xf numFmtId="3" fontId="44" fillId="11" borderId="10" xfId="0" applyNumberFormat="1" applyFont="1" applyFill="1" applyBorder="1"/>
    <xf numFmtId="0" fontId="44" fillId="0" borderId="0" xfId="0" applyFont="1"/>
    <xf numFmtId="3" fontId="44" fillId="0" borderId="0" xfId="0" applyNumberFormat="1" applyFont="1"/>
    <xf numFmtId="3" fontId="44" fillId="20" borderId="12" xfId="0" applyNumberFormat="1" applyFont="1" applyFill="1" applyBorder="1"/>
    <xf numFmtId="0" fontId="48" fillId="10" borderId="10" xfId="0" applyFont="1" applyFill="1" applyBorder="1" applyAlignment="1">
      <alignment horizontal="left" vertical="center" wrapText="1"/>
    </xf>
    <xf numFmtId="0" fontId="51" fillId="5" borderId="10" xfId="0" applyFont="1" applyFill="1" applyBorder="1" applyAlignment="1">
      <alignment horizontal="left" indent="2"/>
    </xf>
    <xf numFmtId="0" fontId="51" fillId="5" borderId="10" xfId="0" applyFont="1" applyFill="1" applyBorder="1" applyAlignment="1">
      <alignment horizontal="left" vertical="center"/>
    </xf>
    <xf numFmtId="3" fontId="51" fillId="5" borderId="10" xfId="0" applyNumberFormat="1" applyFont="1" applyFill="1" applyBorder="1"/>
    <xf numFmtId="0" fontId="48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/>
    </xf>
    <xf numFmtId="0" fontId="52" fillId="0" borderId="10" xfId="0" applyFont="1" applyBorder="1" applyAlignment="1">
      <alignment horizontal="left" vertical="center" indent="1"/>
    </xf>
    <xf numFmtId="0" fontId="52" fillId="0" borderId="10" xfId="0" applyFont="1" applyBorder="1" applyAlignment="1">
      <alignment horizontal="left" vertical="center" indent="4"/>
    </xf>
    <xf numFmtId="0" fontId="53" fillId="0" borderId="0" xfId="0" applyFont="1" applyAlignment="1">
      <alignment horizont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56" fillId="0" borderId="0" xfId="0" applyFont="1"/>
    <xf numFmtId="0" fontId="39" fillId="0" borderId="10" xfId="0" applyFont="1" applyBorder="1" applyAlignment="1">
      <alignment horizontal="left" vertical="center" indent="1"/>
    </xf>
    <xf numFmtId="0" fontId="39" fillId="0" borderId="10" xfId="0" applyFont="1" applyBorder="1" applyAlignment="1">
      <alignment horizontal="left" vertical="center" indent="4"/>
    </xf>
    <xf numFmtId="0" fontId="57" fillId="0" borderId="0" xfId="0" applyFont="1" applyAlignment="1">
      <alignment wrapText="1"/>
    </xf>
    <xf numFmtId="0" fontId="45" fillId="0" borderId="0" xfId="0" applyFont="1"/>
    <xf numFmtId="0" fontId="58" fillId="0" borderId="10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42" fillId="20" borderId="10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62" fillId="0" borderId="0" xfId="0" applyFont="1"/>
    <xf numFmtId="3" fontId="23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3" fontId="39" fillId="0" borderId="0" xfId="0" applyNumberFormat="1" applyFont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left"/>
    </xf>
    <xf numFmtId="3" fontId="21" fillId="0" borderId="10" xfId="0" applyNumberFormat="1" applyFont="1" applyBorder="1"/>
    <xf numFmtId="0" fontId="21" fillId="0" borderId="15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vertical="center" wrapText="1"/>
    </xf>
    <xf numFmtId="0" fontId="23" fillId="20" borderId="10" xfId="0" applyFont="1" applyFill="1" applyBorder="1" applyAlignment="1">
      <alignment vertical="center" wrapText="1"/>
    </xf>
    <xf numFmtId="0" fontId="24" fillId="0" borderId="0" xfId="0" applyFont="1" applyAlignment="1">
      <alignment horizontal="left"/>
    </xf>
    <xf numFmtId="3" fontId="23" fillId="0" borderId="0" xfId="0" applyNumberFormat="1" applyFont="1"/>
    <xf numFmtId="0" fontId="22" fillId="0" borderId="10" xfId="0" applyFont="1" applyBorder="1" applyAlignment="1">
      <alignment horizontal="center" vertical="center"/>
    </xf>
    <xf numFmtId="0" fontId="39" fillId="0" borderId="10" xfId="78" applyFont="1" applyBorder="1" applyAlignment="1">
      <alignment horizontal="left" indent="3"/>
    </xf>
    <xf numFmtId="0" fontId="38" fillId="0" borderId="10" xfId="0" applyFont="1" applyBorder="1" applyAlignment="1">
      <alignment horizontal="left" vertical="center" wrapText="1" indent="3"/>
    </xf>
    <xf numFmtId="0" fontId="39" fillId="0" borderId="10" xfId="0" applyFont="1" applyBorder="1" applyAlignment="1">
      <alignment horizontal="left" vertical="center" wrapText="1" indent="3"/>
    </xf>
    <xf numFmtId="0" fontId="32" fillId="0" borderId="0" xfId="0" applyFont="1"/>
    <xf numFmtId="0" fontId="31" fillId="20" borderId="10" xfId="0" applyFont="1" applyFill="1" applyBorder="1" applyAlignment="1">
      <alignment vertical="center" wrapText="1"/>
    </xf>
    <xf numFmtId="0" fontId="32" fillId="20" borderId="10" xfId="0" applyFont="1" applyFill="1" applyBorder="1" applyAlignment="1">
      <alignment horizontal="left" vertical="center" wrapText="1"/>
    </xf>
    <xf numFmtId="0" fontId="32" fillId="20" borderId="0" xfId="0" applyFont="1" applyFill="1"/>
    <xf numFmtId="0" fontId="31" fillId="0" borderId="10" xfId="0" applyFont="1" applyBorder="1" applyAlignment="1">
      <alignment vertical="center"/>
    </xf>
    <xf numFmtId="0" fontId="32" fillId="0" borderId="10" xfId="0" applyFont="1" applyBorder="1" applyAlignment="1">
      <alignment horizontal="left" vertical="center" wrapText="1"/>
    </xf>
    <xf numFmtId="0" fontId="31" fillId="20" borderId="10" xfId="0" applyFont="1" applyFill="1" applyBorder="1" applyAlignment="1">
      <alignment vertical="center"/>
    </xf>
    <xf numFmtId="0" fontId="31" fillId="20" borderId="10" xfId="0" applyFont="1" applyFill="1" applyBorder="1" applyAlignment="1">
      <alignment horizontal="left" vertical="center" wrapText="1"/>
    </xf>
    <xf numFmtId="0" fontId="39" fillId="0" borderId="10" xfId="78" applyFont="1" applyBorder="1" applyAlignment="1">
      <alignment horizontal="left" indent="4"/>
    </xf>
    <xf numFmtId="0" fontId="23" fillId="20" borderId="10" xfId="0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38" fillId="0" borderId="10" xfId="0" applyFont="1" applyBorder="1" applyAlignment="1">
      <alignment horizontal="left" vertical="center" wrapText="1" indent="4"/>
    </xf>
    <xf numFmtId="0" fontId="39" fillId="0" borderId="10" xfId="0" applyFont="1" applyBorder="1" applyAlignment="1">
      <alignment horizontal="left" vertical="center" wrapText="1" indent="4"/>
    </xf>
    <xf numFmtId="0" fontId="23" fillId="0" borderId="10" xfId="0" applyFont="1" applyBorder="1" applyAlignment="1">
      <alignment vertical="center" wrapText="1"/>
    </xf>
    <xf numFmtId="3" fontId="0" fillId="0" borderId="0" xfId="0" applyNumberFormat="1"/>
    <xf numFmtId="0" fontId="45" fillId="0" borderId="0" xfId="0" applyFont="1" applyAlignment="1">
      <alignment horizontal="right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43" fillId="0" borderId="10" xfId="0" applyFont="1" applyBorder="1" applyAlignment="1">
      <alignment horizontal="center" wrapText="1"/>
    </xf>
    <xf numFmtId="0" fontId="45" fillId="0" borderId="10" xfId="0" applyFont="1" applyBorder="1" applyAlignment="1">
      <alignment horizontal="center" wrapText="1"/>
    </xf>
    <xf numFmtId="3" fontId="43" fillId="0" borderId="10" xfId="0" applyNumberFormat="1" applyFont="1" applyBorder="1"/>
    <xf numFmtId="3" fontId="45" fillId="0" borderId="10" xfId="0" applyNumberFormat="1" applyFont="1" applyBorder="1"/>
    <xf numFmtId="3" fontId="45" fillId="24" borderId="10" xfId="0" applyNumberFormat="1" applyFont="1" applyFill="1" applyBorder="1"/>
    <xf numFmtId="3" fontId="45" fillId="10" borderId="10" xfId="0" applyNumberFormat="1" applyFont="1" applyFill="1" applyBorder="1"/>
    <xf numFmtId="3" fontId="64" fillId="0" borderId="10" xfId="0" applyNumberFormat="1" applyFont="1" applyBorder="1" applyAlignment="1">
      <alignment horizontal="right" vertical="center" wrapText="1"/>
    </xf>
    <xf numFmtId="3" fontId="64" fillId="0" borderId="10" xfId="0" applyNumberFormat="1" applyFont="1" applyBorder="1" applyAlignment="1">
      <alignment horizontal="right" vertical="center"/>
    </xf>
    <xf numFmtId="3" fontId="64" fillId="10" borderId="10" xfId="0" applyNumberFormat="1" applyFont="1" applyFill="1" applyBorder="1" applyAlignment="1">
      <alignment horizontal="right" vertical="center"/>
    </xf>
    <xf numFmtId="3" fontId="45" fillId="11" borderId="10" xfId="0" applyNumberFormat="1" applyFont="1" applyFill="1" applyBorder="1"/>
    <xf numFmtId="3" fontId="43" fillId="0" borderId="0" xfId="0" applyNumberFormat="1" applyFont="1"/>
    <xf numFmtId="3" fontId="45" fillId="0" borderId="0" xfId="0" applyNumberFormat="1" applyFont="1"/>
    <xf numFmtId="3" fontId="43" fillId="0" borderId="10" xfId="0" applyNumberFormat="1" applyFont="1" applyBorder="1" applyAlignment="1">
      <alignment horizontal="center" wrapText="1"/>
    </xf>
    <xf numFmtId="3" fontId="45" fillId="0" borderId="10" xfId="0" applyNumberFormat="1" applyFont="1" applyBorder="1" applyAlignment="1">
      <alignment horizontal="center" wrapText="1"/>
    </xf>
    <xf numFmtId="3" fontId="65" fillId="5" borderId="10" xfId="0" applyNumberFormat="1" applyFont="1" applyFill="1" applyBorder="1"/>
    <xf numFmtId="0" fontId="20" fillId="0" borderId="0" xfId="0" applyFont="1"/>
    <xf numFmtId="0" fontId="42" fillId="20" borderId="16" xfId="0" applyFont="1" applyFill="1" applyBorder="1" applyAlignment="1">
      <alignment horizontal="center"/>
    </xf>
    <xf numFmtId="0" fontId="42" fillId="0" borderId="12" xfId="0" applyFont="1" applyBorder="1" applyAlignment="1">
      <alignment horizontal="center"/>
    </xf>
    <xf numFmtId="4" fontId="49" fillId="0" borderId="17" xfId="0" applyNumberFormat="1" applyFont="1" applyBorder="1" applyAlignment="1">
      <alignment horizontal="right" vertical="center" wrapText="1"/>
    </xf>
    <xf numFmtId="3" fontId="57" fillId="0" borderId="10" xfId="0" applyNumberFormat="1" applyFont="1" applyBorder="1"/>
    <xf numFmtId="0" fontId="24" fillId="0" borderId="14" xfId="0" applyFont="1" applyBorder="1" applyAlignment="1">
      <alignment horizontal="left" vertical="center"/>
    </xf>
    <xf numFmtId="0" fontId="25" fillId="20" borderId="16" xfId="0" applyFont="1" applyFill="1" applyBorder="1" applyAlignment="1">
      <alignment horizontal="left" vertical="center" wrapText="1"/>
    </xf>
    <xf numFmtId="0" fontId="25" fillId="20" borderId="16" xfId="0" applyFont="1" applyFill="1" applyBorder="1" applyAlignment="1">
      <alignment horizontal="left" vertical="center"/>
    </xf>
    <xf numFmtId="3" fontId="25" fillId="20" borderId="16" xfId="0" applyNumberFormat="1" applyFont="1" applyFill="1" applyBorder="1"/>
    <xf numFmtId="0" fontId="25" fillId="0" borderId="12" xfId="0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wrapText="1"/>
    </xf>
    <xf numFmtId="0" fontId="38" fillId="0" borderId="17" xfId="0" applyFont="1" applyBorder="1" applyAlignment="1">
      <alignment horizontal="left" vertical="center" wrapText="1"/>
    </xf>
    <xf numFmtId="3" fontId="24" fillId="0" borderId="17" xfId="0" applyNumberFormat="1" applyFont="1" applyBorder="1"/>
    <xf numFmtId="3" fontId="25" fillId="0" borderId="17" xfId="0" applyNumberFormat="1" applyFont="1" applyBorder="1"/>
    <xf numFmtId="0" fontId="25" fillId="20" borderId="17" xfId="0" applyFont="1" applyFill="1" applyBorder="1" applyAlignment="1">
      <alignment horizontal="left" vertical="center" wrapText="1"/>
    </xf>
    <xf numFmtId="3" fontId="25" fillId="20" borderId="17" xfId="0" applyNumberFormat="1" applyFont="1" applyFill="1" applyBorder="1"/>
    <xf numFmtId="3" fontId="42" fillId="0" borderId="0" xfId="0" applyNumberFormat="1" applyFont="1"/>
    <xf numFmtId="3" fontId="42" fillId="0" borderId="17" xfId="0" applyNumberFormat="1" applyFont="1" applyBorder="1"/>
    <xf numFmtId="0" fontId="69" fillId="0" borderId="0" xfId="0" applyFont="1" applyAlignment="1">
      <alignment horizontal="center"/>
    </xf>
    <xf numFmtId="0" fontId="69" fillId="0" borderId="0" xfId="0" applyFont="1"/>
    <xf numFmtId="0" fontId="45" fillId="0" borderId="17" xfId="0" applyFont="1" applyBorder="1" applyAlignment="1">
      <alignment horizontal="center" vertical="center" wrapText="1"/>
    </xf>
    <xf numFmtId="3" fontId="44" fillId="27" borderId="10" xfId="0" applyNumberFormat="1" applyFont="1" applyFill="1" applyBorder="1"/>
    <xf numFmtId="0" fontId="44" fillId="0" borderId="15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165" fontId="42" fillId="0" borderId="12" xfId="0" applyNumberFormat="1" applyFont="1" applyBorder="1" applyAlignment="1">
      <alignment vertical="center"/>
    </xf>
    <xf numFmtId="0" fontId="44" fillId="0" borderId="17" xfId="0" applyFont="1" applyBorder="1" applyAlignment="1">
      <alignment horizontal="center" vertical="center" wrapText="1"/>
    </xf>
    <xf numFmtId="3" fontId="46" fillId="0" borderId="0" xfId="0" applyNumberFormat="1" applyFont="1"/>
    <xf numFmtId="3" fontId="42" fillId="0" borderId="0" xfId="0" applyNumberFormat="1" applyFont="1" applyAlignment="1">
      <alignment horizontal="center"/>
    </xf>
    <xf numFmtId="3" fontId="44" fillId="0" borderId="17" xfId="0" applyNumberFormat="1" applyFont="1" applyBorder="1" applyAlignment="1">
      <alignment horizontal="center" vertical="center" wrapText="1"/>
    </xf>
    <xf numFmtId="3" fontId="42" fillId="0" borderId="12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3" fontId="44" fillId="20" borderId="10" xfId="0" applyNumberFormat="1" applyFont="1" applyFill="1" applyBorder="1" applyAlignment="1">
      <alignment vertical="center"/>
    </xf>
    <xf numFmtId="3" fontId="42" fillId="0" borderId="10" xfId="0" applyNumberFormat="1" applyFont="1" applyBorder="1" applyAlignment="1">
      <alignment horizontal="left" vertical="center" wrapText="1"/>
    </xf>
    <xf numFmtId="3" fontId="42" fillId="0" borderId="12" xfId="0" applyNumberFormat="1" applyFont="1" applyBorder="1" applyAlignment="1">
      <alignment horizontal="left" vertical="center"/>
    </xf>
    <xf numFmtId="3" fontId="42" fillId="0" borderId="10" xfId="0" applyNumberFormat="1" applyFont="1" applyBorder="1" applyAlignment="1">
      <alignment horizontal="left" vertical="center"/>
    </xf>
    <xf numFmtId="3" fontId="44" fillId="20" borderId="10" xfId="0" applyNumberFormat="1" applyFont="1" applyFill="1" applyBorder="1" applyAlignment="1">
      <alignment horizontal="left" vertical="center"/>
    </xf>
    <xf numFmtId="3" fontId="51" fillId="5" borderId="10" xfId="0" applyNumberFormat="1" applyFont="1" applyFill="1" applyBorder="1" applyAlignment="1">
      <alignment horizontal="left" vertical="center"/>
    </xf>
    <xf numFmtId="3" fontId="44" fillId="0" borderId="10" xfId="0" applyNumberFormat="1" applyFont="1" applyBorder="1" applyAlignment="1">
      <alignment horizontal="left" vertical="center" wrapText="1"/>
    </xf>
    <xf numFmtId="3" fontId="42" fillId="27" borderId="12" xfId="0" applyNumberFormat="1" applyFont="1" applyFill="1" applyBorder="1" applyAlignment="1">
      <alignment vertical="center"/>
    </xf>
    <xf numFmtId="0" fontId="42" fillId="0" borderId="15" xfId="0" applyFont="1" applyBorder="1" applyAlignment="1">
      <alignment horizontal="left" vertical="center"/>
    </xf>
    <xf numFmtId="3" fontId="42" fillId="0" borderId="16" xfId="0" applyNumberFormat="1" applyFont="1" applyBorder="1" applyAlignment="1">
      <alignment horizontal="left" vertical="center"/>
    </xf>
    <xf numFmtId="3" fontId="42" fillId="0" borderId="17" xfId="0" applyNumberFormat="1" applyFont="1" applyBorder="1" applyAlignment="1">
      <alignment vertical="center"/>
    </xf>
    <xf numFmtId="3" fontId="42" fillId="27" borderId="12" xfId="0" applyNumberFormat="1" applyFont="1" applyFill="1" applyBorder="1"/>
    <xf numFmtId="0" fontId="0" fillId="0" borderId="18" xfId="0" quotePrefix="1" applyBorder="1" applyAlignment="1">
      <alignment horizontal="center"/>
    </xf>
    <xf numFmtId="3" fontId="32" fillId="0" borderId="14" xfId="0" applyNumberFormat="1" applyFont="1" applyBorder="1"/>
    <xf numFmtId="0" fontId="32" fillId="0" borderId="12" xfId="0" applyFont="1" applyBorder="1"/>
    <xf numFmtId="3" fontId="32" fillId="0" borderId="12" xfId="0" applyNumberFormat="1" applyFont="1" applyBorder="1"/>
    <xf numFmtId="0" fontId="32" fillId="0" borderId="17" xfId="0" applyFont="1" applyBorder="1"/>
    <xf numFmtId="3" fontId="32" fillId="0" borderId="17" xfId="0" applyNumberFormat="1" applyFont="1" applyBorder="1"/>
    <xf numFmtId="0" fontId="21" fillId="27" borderId="17" xfId="0" applyFont="1" applyFill="1" applyBorder="1" applyAlignment="1">
      <alignment horizontal="left" wrapText="1"/>
    </xf>
    <xf numFmtId="0" fontId="32" fillId="27" borderId="17" xfId="0" applyFont="1" applyFill="1" applyBorder="1"/>
    <xf numFmtId="3" fontId="32" fillId="27" borderId="17" xfId="0" applyNumberFormat="1" applyFont="1" applyFill="1" applyBorder="1"/>
    <xf numFmtId="0" fontId="59" fillId="0" borderId="15" xfId="75" applyFont="1" applyBorder="1" applyAlignment="1">
      <alignment horizontal="center" vertical="center" wrapText="1"/>
    </xf>
    <xf numFmtId="0" fontId="49" fillId="0" borderId="15" xfId="75" applyFont="1" applyBorder="1" applyAlignment="1">
      <alignment horizontal="left" vertical="center" wrapText="1"/>
    </xf>
    <xf numFmtId="0" fontId="48" fillId="20" borderId="15" xfId="75" applyFont="1" applyFill="1" applyBorder="1" applyAlignment="1">
      <alignment horizontal="left" vertical="center" wrapText="1"/>
    </xf>
    <xf numFmtId="0" fontId="48" fillId="20" borderId="19" xfId="75" applyFont="1" applyFill="1" applyBorder="1" applyAlignment="1">
      <alignment horizontal="left" vertical="center" wrapText="1"/>
    </xf>
    <xf numFmtId="0" fontId="66" fillId="26" borderId="20" xfId="0" applyFont="1" applyFill="1" applyBorder="1" applyAlignment="1">
      <alignment horizontal="left" vertical="top" wrapText="1"/>
    </xf>
    <xf numFmtId="0" fontId="49" fillId="0" borderId="21" xfId="75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 wrapText="1"/>
    </xf>
    <xf numFmtId="4" fontId="44" fillId="0" borderId="17" xfId="0" applyNumberFormat="1" applyFont="1" applyBorder="1" applyAlignment="1">
      <alignment horizontal="right"/>
    </xf>
    <xf numFmtId="4" fontId="48" fillId="20" borderId="17" xfId="0" applyNumberFormat="1" applyFont="1" applyFill="1" applyBorder="1" applyAlignment="1">
      <alignment horizontal="right" vertical="center" wrapText="1"/>
    </xf>
    <xf numFmtId="4" fontId="44" fillId="20" borderId="17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24" fillId="0" borderId="10" xfId="0" applyFont="1" applyBorder="1" applyAlignment="1">
      <alignment horizontal="left" vertical="center" indent="1"/>
    </xf>
    <xf numFmtId="0" fontId="25" fillId="0" borderId="15" xfId="0" applyFont="1" applyBorder="1" applyAlignment="1">
      <alignment horizontal="center" vertical="center" wrapText="1"/>
    </xf>
    <xf numFmtId="3" fontId="24" fillId="28" borderId="17" xfId="0" applyNumberFormat="1" applyFont="1" applyFill="1" applyBorder="1" applyAlignment="1">
      <alignment horizontal="right"/>
    </xf>
    <xf numFmtId="3" fontId="42" fillId="0" borderId="20" xfId="0" applyNumberFormat="1" applyFont="1" applyBorder="1"/>
    <xf numFmtId="3" fontId="42" fillId="0" borderId="21" xfId="0" applyNumberFormat="1" applyFont="1" applyBorder="1"/>
    <xf numFmtId="3" fontId="44" fillId="20" borderId="15" xfId="0" applyNumberFormat="1" applyFont="1" applyFill="1" applyBorder="1"/>
    <xf numFmtId="3" fontId="42" fillId="20" borderId="15" xfId="0" applyNumberFormat="1" applyFont="1" applyFill="1" applyBorder="1"/>
    <xf numFmtId="3" fontId="42" fillId="0" borderId="15" xfId="0" applyNumberFormat="1" applyFont="1" applyBorder="1"/>
    <xf numFmtId="3" fontId="44" fillId="20" borderId="17" xfId="0" applyNumberFormat="1" applyFont="1" applyFill="1" applyBorder="1"/>
    <xf numFmtId="3" fontId="42" fillId="20" borderId="17" xfId="0" applyNumberFormat="1" applyFont="1" applyFill="1" applyBorder="1"/>
    <xf numFmtId="3" fontId="44" fillId="24" borderId="17" xfId="0" applyNumberFormat="1" applyFont="1" applyFill="1" applyBorder="1"/>
    <xf numFmtId="3" fontId="44" fillId="10" borderId="17" xfId="0" applyNumberFormat="1" applyFont="1" applyFill="1" applyBorder="1"/>
    <xf numFmtId="3" fontId="48" fillId="0" borderId="17" xfId="0" applyNumberFormat="1" applyFont="1" applyBorder="1" applyAlignment="1">
      <alignment horizontal="right" vertical="center"/>
    </xf>
    <xf numFmtId="3" fontId="49" fillId="0" borderId="17" xfId="0" applyNumberFormat="1" applyFont="1" applyBorder="1" applyAlignment="1">
      <alignment horizontal="right" vertical="center" wrapText="1"/>
    </xf>
    <xf numFmtId="3" fontId="48" fillId="10" borderId="17" xfId="0" applyNumberFormat="1" applyFont="1" applyFill="1" applyBorder="1" applyAlignment="1">
      <alignment horizontal="right" vertical="center"/>
    </xf>
    <xf numFmtId="3" fontId="44" fillId="11" borderId="17" xfId="0" applyNumberFormat="1" applyFont="1" applyFill="1" applyBorder="1"/>
    <xf numFmtId="3" fontId="44" fillId="0" borderId="16" xfId="0" applyNumberFormat="1" applyFont="1" applyBorder="1"/>
    <xf numFmtId="3" fontId="42" fillId="27" borderId="17" xfId="0" applyNumberFormat="1" applyFont="1" applyFill="1" applyBorder="1"/>
    <xf numFmtId="3" fontId="51" fillId="5" borderId="17" xfId="0" applyNumberFormat="1" applyFont="1" applyFill="1" applyBorder="1"/>
    <xf numFmtId="3" fontId="44" fillId="0" borderId="17" xfId="0" applyNumberFormat="1" applyFont="1" applyBorder="1"/>
    <xf numFmtId="0" fontId="24" fillId="0" borderId="17" xfId="0" applyFont="1" applyBorder="1" applyAlignment="1">
      <alignment horizontal="left" indent="2"/>
    </xf>
    <xf numFmtId="3" fontId="45" fillId="20" borderId="0" xfId="0" applyNumberFormat="1" applyFont="1" applyFill="1"/>
    <xf numFmtId="3" fontId="44" fillId="27" borderId="12" xfId="0" applyNumberFormat="1" applyFont="1" applyFill="1" applyBorder="1"/>
    <xf numFmtId="0" fontId="44" fillId="20" borderId="0" xfId="0" applyFont="1" applyFill="1"/>
    <xf numFmtId="3" fontId="42" fillId="27" borderId="21" xfId="0" applyNumberFormat="1" applyFont="1" applyFill="1" applyBorder="1"/>
    <xf numFmtId="3" fontId="44" fillId="24" borderId="15" xfId="0" applyNumberFormat="1" applyFont="1" applyFill="1" applyBorder="1"/>
    <xf numFmtId="3" fontId="44" fillId="10" borderId="15" xfId="0" applyNumberFormat="1" applyFont="1" applyFill="1" applyBorder="1"/>
    <xf numFmtId="3" fontId="48" fillId="0" borderId="15" xfId="0" applyNumberFormat="1" applyFont="1" applyBorder="1" applyAlignment="1">
      <alignment horizontal="right" vertical="center"/>
    </xf>
    <xf numFmtId="3" fontId="49" fillId="0" borderId="15" xfId="0" applyNumberFormat="1" applyFont="1" applyBorder="1" applyAlignment="1">
      <alignment horizontal="right" vertical="center" wrapText="1"/>
    </xf>
    <xf numFmtId="3" fontId="48" fillId="10" borderId="15" xfId="0" applyNumberFormat="1" applyFont="1" applyFill="1" applyBorder="1" applyAlignment="1">
      <alignment horizontal="right" vertical="center"/>
    </xf>
    <xf numFmtId="3" fontId="44" fillId="11" borderId="15" xfId="0" applyNumberFormat="1" applyFont="1" applyFill="1" applyBorder="1"/>
    <xf numFmtId="3" fontId="43" fillId="0" borderId="17" xfId="0" applyNumberFormat="1" applyFont="1" applyBorder="1"/>
    <xf numFmtId="3" fontId="44" fillId="20" borderId="21" xfId="0" applyNumberFormat="1" applyFont="1" applyFill="1" applyBorder="1"/>
    <xf numFmtId="3" fontId="44" fillId="27" borderId="15" xfId="0" applyNumberFormat="1" applyFont="1" applyFill="1" applyBorder="1"/>
    <xf numFmtId="3" fontId="51" fillId="5" borderId="15" xfId="0" applyNumberFormat="1" applyFont="1" applyFill="1" applyBorder="1"/>
    <xf numFmtId="3" fontId="44" fillId="0" borderId="15" xfId="0" applyNumberFormat="1" applyFont="1" applyBorder="1"/>
    <xf numFmtId="3" fontId="25" fillId="20" borderId="14" xfId="0" applyNumberFormat="1" applyFont="1" applyFill="1" applyBorder="1"/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wrapText="1"/>
    </xf>
    <xf numFmtId="0" fontId="21" fillId="0" borderId="17" xfId="79" applyFont="1" applyBorder="1" applyAlignment="1">
      <alignment horizontal="left" vertical="center" wrapText="1" indent="2"/>
    </xf>
    <xf numFmtId="0" fontId="24" fillId="0" borderId="17" xfId="0" applyFont="1" applyBorder="1" applyAlignment="1">
      <alignment horizontal="left" vertical="center"/>
    </xf>
    <xf numFmtId="3" fontId="24" fillId="0" borderId="17" xfId="0" applyNumberFormat="1" applyFont="1" applyBorder="1" applyAlignment="1">
      <alignment horizontal="right"/>
    </xf>
    <xf numFmtId="0" fontId="24" fillId="25" borderId="17" xfId="0" applyFont="1" applyFill="1" applyBorder="1" applyAlignment="1">
      <alignment horizontal="left" vertical="top" wrapText="1" indent="3"/>
    </xf>
    <xf numFmtId="0" fontId="21" fillId="0" borderId="17" xfId="79" applyFont="1" applyBorder="1" applyAlignment="1">
      <alignment horizontal="left" vertical="center" wrapText="1" indent="3"/>
    </xf>
    <xf numFmtId="0" fontId="25" fillId="20" borderId="17" xfId="0" applyFont="1" applyFill="1" applyBorder="1" applyAlignment="1">
      <alignment vertical="center" wrapText="1"/>
    </xf>
    <xf numFmtId="0" fontId="25" fillId="20" borderId="17" xfId="0" applyFont="1" applyFill="1" applyBorder="1" applyAlignment="1">
      <alignment horizontal="left" vertical="center"/>
    </xf>
    <xf numFmtId="3" fontId="25" fillId="20" borderId="17" xfId="0" applyNumberFormat="1" applyFont="1" applyFill="1" applyBorder="1" applyAlignment="1">
      <alignment horizontal="right"/>
    </xf>
    <xf numFmtId="0" fontId="21" fillId="0" borderId="17" xfId="0" applyFont="1" applyBorder="1" applyAlignment="1">
      <alignment horizontal="left" indent="2"/>
    </xf>
    <xf numFmtId="0" fontId="19" fillId="0" borderId="17" xfId="79" applyBorder="1" applyAlignment="1">
      <alignment horizontal="left" indent="2"/>
    </xf>
    <xf numFmtId="0" fontId="21" fillId="0" borderId="17" xfId="0" applyFont="1" applyBorder="1" applyAlignment="1">
      <alignment horizontal="left" vertical="center" wrapText="1" indent="2"/>
    </xf>
    <xf numFmtId="0" fontId="39" fillId="0" borderId="17" xfId="79" applyFont="1" applyBorder="1" applyAlignment="1">
      <alignment horizontal="left" vertical="center" wrapText="1" indent="2"/>
    </xf>
    <xf numFmtId="0" fontId="38" fillId="0" borderId="17" xfId="0" applyFont="1" applyBorder="1" applyAlignment="1">
      <alignment horizontal="left" vertical="center"/>
    </xf>
    <xf numFmtId="3" fontId="38" fillId="0" borderId="17" xfId="0" applyNumberFormat="1" applyFont="1" applyBorder="1" applyAlignment="1">
      <alignment horizontal="right"/>
    </xf>
    <xf numFmtId="0" fontId="25" fillId="20" borderId="17" xfId="0" applyFont="1" applyFill="1" applyBorder="1"/>
    <xf numFmtId="3" fontId="24" fillId="0" borderId="14" xfId="0" applyNumberFormat="1" applyFont="1" applyBorder="1"/>
    <xf numFmtId="0" fontId="24" fillId="0" borderId="17" xfId="0" applyFont="1" applyBorder="1" applyAlignment="1">
      <alignment horizontal="left" vertical="center" wrapText="1" indent="1"/>
    </xf>
    <xf numFmtId="0" fontId="24" fillId="0" borderId="17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 indent="2"/>
    </xf>
    <xf numFmtId="0" fontId="39" fillId="0" borderId="17" xfId="0" applyFont="1" applyBorder="1" applyAlignment="1">
      <alignment horizontal="left" vertical="center" wrapText="1"/>
    </xf>
    <xf numFmtId="3" fontId="38" fillId="0" borderId="17" xfId="0" applyNumberFormat="1" applyFont="1" applyBorder="1"/>
    <xf numFmtId="0" fontId="21" fillId="0" borderId="17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4" fillId="0" borderId="15" xfId="0" applyFont="1" applyBorder="1"/>
    <xf numFmtId="0" fontId="25" fillId="20" borderId="15" xfId="0" applyFont="1" applyFill="1" applyBorder="1" applyAlignment="1">
      <alignment horizontal="left" vertical="center"/>
    </xf>
    <xf numFmtId="0" fontId="32" fillId="20" borderId="15" xfId="0" applyFont="1" applyFill="1" applyBorder="1" applyAlignment="1">
      <alignment horizontal="left" vertical="center"/>
    </xf>
    <xf numFmtId="0" fontId="24" fillId="0" borderId="1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wrapText="1"/>
    </xf>
    <xf numFmtId="3" fontId="32" fillId="20" borderId="14" xfId="0" applyNumberFormat="1" applyFont="1" applyFill="1" applyBorder="1"/>
    <xf numFmtId="0" fontId="24" fillId="0" borderId="14" xfId="0" applyFont="1" applyBorder="1"/>
    <xf numFmtId="3" fontId="45" fillId="20" borderId="14" xfId="0" applyNumberFormat="1" applyFont="1" applyFill="1" applyBorder="1"/>
    <xf numFmtId="0" fontId="24" fillId="0" borderId="17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wrapText="1"/>
    </xf>
    <xf numFmtId="0" fontId="44" fillId="0" borderId="17" xfId="0" applyFont="1" applyBorder="1" applyAlignment="1">
      <alignment wrapText="1"/>
    </xf>
    <xf numFmtId="3" fontId="32" fillId="20" borderId="17" xfId="0" applyNumberFormat="1" applyFont="1" applyFill="1" applyBorder="1"/>
    <xf numFmtId="0" fontId="24" fillId="0" borderId="17" xfId="0" applyFont="1" applyBorder="1"/>
    <xf numFmtId="3" fontId="45" fillId="20" borderId="17" xfId="0" applyNumberFormat="1" applyFont="1" applyFill="1" applyBorder="1"/>
    <xf numFmtId="3" fontId="49" fillId="0" borderId="17" xfId="0" applyNumberFormat="1" applyFont="1" applyBorder="1"/>
    <xf numFmtId="0" fontId="42" fillId="0" borderId="12" xfId="0" applyFont="1" applyBorder="1" applyAlignment="1">
      <alignment vertical="center" wrapText="1"/>
    </xf>
    <xf numFmtId="0" fontId="42" fillId="0" borderId="1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3" fontId="23" fillId="0" borderId="14" xfId="0" applyNumberFormat="1" applyFont="1" applyBorder="1" applyAlignment="1">
      <alignment horizontal="center" vertical="center"/>
    </xf>
    <xf numFmtId="3" fontId="24" fillId="28" borderId="22" xfId="0" applyNumberFormat="1" applyFont="1" applyFill="1" applyBorder="1" applyAlignment="1">
      <alignment horizontal="right"/>
    </xf>
    <xf numFmtId="3" fontId="23" fillId="0" borderId="23" xfId="0" applyNumberFormat="1" applyFont="1" applyBorder="1" applyAlignment="1">
      <alignment horizontal="center" vertical="center"/>
    </xf>
    <xf numFmtId="3" fontId="23" fillId="20" borderId="14" xfId="0" applyNumberFormat="1" applyFont="1" applyFill="1" applyBorder="1"/>
    <xf numFmtId="3" fontId="23" fillId="0" borderId="17" xfId="0" applyNumberFormat="1" applyFont="1" applyBorder="1" applyAlignment="1">
      <alignment horizontal="center" vertical="center"/>
    </xf>
    <xf numFmtId="3" fontId="21" fillId="0" borderId="17" xfId="0" applyNumberFormat="1" applyFont="1" applyBorder="1"/>
    <xf numFmtId="3" fontId="21" fillId="0" borderId="17" xfId="0" applyNumberFormat="1" applyFont="1" applyBorder="1" applyAlignment="1">
      <alignment horizontal="right"/>
    </xf>
    <xf numFmtId="3" fontId="23" fillId="20" borderId="17" xfId="0" applyNumberFormat="1" applyFont="1" applyFill="1" applyBorder="1"/>
    <xf numFmtId="3" fontId="24" fillId="0" borderId="24" xfId="0" applyNumberFormat="1" applyFont="1" applyBorder="1"/>
    <xf numFmtId="0" fontId="42" fillId="0" borderId="17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3" fontId="44" fillId="0" borderId="19" xfId="0" applyNumberFormat="1" applyFont="1" applyBorder="1"/>
    <xf numFmtId="0" fontId="42" fillId="0" borderId="22" xfId="0" applyFont="1" applyBorder="1" applyAlignment="1">
      <alignment horizontal="center" vertical="center"/>
    </xf>
    <xf numFmtId="3" fontId="29" fillId="0" borderId="0" xfId="0" applyNumberFormat="1" applyFont="1" applyAlignment="1">
      <alignment wrapText="1"/>
    </xf>
    <xf numFmtId="3" fontId="44" fillId="0" borderId="0" xfId="0" applyNumberFormat="1" applyFont="1" applyAlignment="1">
      <alignment horizontal="right"/>
    </xf>
    <xf numFmtId="3" fontId="45" fillId="0" borderId="17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0" xfId="0" quotePrefix="1" applyFont="1"/>
    <xf numFmtId="0" fontId="41" fillId="20" borderId="10" xfId="0" applyFont="1" applyFill="1" applyBorder="1" applyAlignment="1">
      <alignment wrapText="1"/>
    </xf>
    <xf numFmtId="0" fontId="41" fillId="0" borderId="10" xfId="0" applyFont="1" applyBorder="1" applyAlignment="1">
      <alignment wrapText="1"/>
    </xf>
    <xf numFmtId="0" fontId="39" fillId="0" borderId="10" xfId="79" applyFont="1" applyBorder="1" applyAlignment="1">
      <alignment horizontal="left" vertical="center" wrapText="1"/>
    </xf>
    <xf numFmtId="0" fontId="25" fillId="0" borderId="12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38" fillId="0" borderId="10" xfId="0" applyFont="1" applyBorder="1" applyAlignment="1">
      <alignment horizontal="left" wrapText="1"/>
    </xf>
    <xf numFmtId="0" fontId="32" fillId="20" borderId="10" xfId="0" applyFont="1" applyFill="1" applyBorder="1" applyAlignment="1">
      <alignment wrapText="1"/>
    </xf>
    <xf numFmtId="0" fontId="32" fillId="0" borderId="10" xfId="0" applyFont="1" applyBorder="1" applyAlignment="1">
      <alignment wrapText="1"/>
    </xf>
    <xf numFmtId="0" fontId="39" fillId="0" borderId="17" xfId="0" applyFont="1" applyBorder="1" applyAlignment="1">
      <alignment horizontal="left" wrapText="1"/>
    </xf>
    <xf numFmtId="0" fontId="32" fillId="0" borderId="17" xfId="0" applyFont="1" applyBorder="1" applyAlignment="1">
      <alignment wrapText="1"/>
    </xf>
    <xf numFmtId="0" fontId="32" fillId="0" borderId="12" xfId="0" applyFont="1" applyBorder="1" applyAlignment="1">
      <alignment wrapText="1"/>
    </xf>
    <xf numFmtId="3" fontId="42" fillId="0" borderId="25" xfId="0" applyNumberFormat="1" applyFont="1" applyBorder="1"/>
    <xf numFmtId="3" fontId="44" fillId="20" borderId="26" xfId="0" applyNumberFormat="1" applyFont="1" applyFill="1" applyBorder="1"/>
    <xf numFmtId="3" fontId="42" fillId="27" borderId="26" xfId="0" applyNumberFormat="1" applyFont="1" applyFill="1" applyBorder="1"/>
    <xf numFmtId="3" fontId="42" fillId="27" borderId="17" xfId="0" applyNumberFormat="1" applyFont="1" applyFill="1" applyBorder="1" applyAlignment="1">
      <alignment vertical="center"/>
    </xf>
    <xf numFmtId="0" fontId="44" fillId="0" borderId="17" xfId="0" applyFont="1" applyBorder="1" applyAlignment="1">
      <alignment horizontal="center" vertical="center" wrapText="1"/>
    </xf>
    <xf numFmtId="3" fontId="25" fillId="0" borderId="15" xfId="0" applyNumberFormat="1" applyFont="1" applyBorder="1"/>
    <xf numFmtId="3" fontId="25" fillId="24" borderId="15" xfId="0" applyNumberFormat="1" applyFont="1" applyFill="1" applyBorder="1"/>
    <xf numFmtId="3" fontId="25" fillId="10" borderId="15" xfId="0" applyNumberFormat="1" applyFont="1" applyFill="1" applyBorder="1"/>
    <xf numFmtId="3" fontId="24" fillId="0" borderId="15" xfId="0" applyNumberFormat="1" applyFont="1" applyBorder="1"/>
    <xf numFmtId="3" fontId="23" fillId="10" borderId="15" xfId="0" applyNumberFormat="1" applyFont="1" applyFill="1" applyBorder="1" applyAlignment="1">
      <alignment horizontal="right" vertical="center"/>
    </xf>
    <xf numFmtId="3" fontId="25" fillId="11" borderId="15" xfId="0" applyNumberFormat="1" applyFont="1" applyFill="1" applyBorder="1"/>
    <xf numFmtId="0" fontId="42" fillId="0" borderId="0" xfId="0" applyFont="1" applyAlignment="1">
      <alignment horizontal="center"/>
    </xf>
    <xf numFmtId="3" fontId="32" fillId="20" borderId="15" xfId="0" applyNumberFormat="1" applyFont="1" applyFill="1" applyBorder="1"/>
    <xf numFmtId="3" fontId="32" fillId="0" borderId="15" xfId="0" applyNumberFormat="1" applyFont="1" applyBorder="1"/>
    <xf numFmtId="3" fontId="25" fillId="20" borderId="15" xfId="0" applyNumberFormat="1" applyFont="1" applyFill="1" applyBorder="1"/>
    <xf numFmtId="3" fontId="38" fillId="0" borderId="15" xfId="0" applyNumberFormat="1" applyFont="1" applyBorder="1"/>
    <xf numFmtId="0" fontId="25" fillId="0" borderId="13" xfId="0" applyFont="1" applyBorder="1" applyAlignment="1">
      <alignment horizontal="center" wrapText="1"/>
    </xf>
    <xf numFmtId="3" fontId="24" fillId="0" borderId="20" xfId="0" applyNumberFormat="1" applyFont="1" applyBorder="1"/>
    <xf numFmtId="3" fontId="25" fillId="20" borderId="20" xfId="0" applyNumberFormat="1" applyFont="1" applyFill="1" applyBorder="1"/>
    <xf numFmtId="3" fontId="38" fillId="0" borderId="20" xfId="0" applyNumberFormat="1" applyFont="1" applyBorder="1"/>
    <xf numFmtId="3" fontId="25" fillId="20" borderId="27" xfId="0" applyNumberFormat="1" applyFont="1" applyFill="1" applyBorder="1"/>
    <xf numFmtId="3" fontId="24" fillId="0" borderId="21" xfId="0" applyNumberFormat="1" applyFont="1" applyBorder="1"/>
    <xf numFmtId="3" fontId="24" fillId="0" borderId="15" xfId="0" applyNumberFormat="1" applyFont="1" applyBorder="1" applyAlignment="1">
      <alignment horizontal="right"/>
    </xf>
    <xf numFmtId="3" fontId="24" fillId="0" borderId="13" xfId="0" applyNumberFormat="1" applyFont="1" applyBorder="1"/>
    <xf numFmtId="3" fontId="25" fillId="20" borderId="19" xfId="0" applyNumberFormat="1" applyFont="1" applyFill="1" applyBorder="1"/>
    <xf numFmtId="3" fontId="25" fillId="0" borderId="20" xfId="0" applyNumberFormat="1" applyFont="1" applyBorder="1"/>
    <xf numFmtId="3" fontId="24" fillId="0" borderId="21" xfId="0" applyNumberFormat="1" applyFont="1" applyBorder="1" applyAlignment="1">
      <alignment horizontal="center" wrapText="1"/>
    </xf>
    <xf numFmtId="3" fontId="24" fillId="0" borderId="15" xfId="0" applyNumberFormat="1" applyFont="1" applyBorder="1" applyAlignment="1">
      <alignment horizontal="center" wrapText="1"/>
    </xf>
    <xf numFmtId="3" fontId="21" fillId="0" borderId="15" xfId="79" applyNumberFormat="1" applyFont="1" applyBorder="1" applyAlignment="1" applyProtection="1">
      <alignment horizontal="right" vertical="center" wrapText="1"/>
      <protection locked="0"/>
    </xf>
    <xf numFmtId="3" fontId="32" fillId="0" borderId="20" xfId="0" applyNumberFormat="1" applyFont="1" applyBorder="1"/>
    <xf numFmtId="3" fontId="32" fillId="27" borderId="20" xfId="0" applyNumberFormat="1" applyFont="1" applyFill="1" applyBorder="1"/>
    <xf numFmtId="0" fontId="42" fillId="0" borderId="16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/>
    </xf>
    <xf numFmtId="3" fontId="42" fillId="0" borderId="16" xfId="0" applyNumberFormat="1" applyFont="1" applyBorder="1"/>
    <xf numFmtId="3" fontId="42" fillId="0" borderId="24" xfId="0" applyNumberFormat="1" applyFont="1" applyBorder="1"/>
    <xf numFmtId="0" fontId="44" fillId="20" borderId="12" xfId="0" applyFont="1" applyFill="1" applyBorder="1" applyAlignment="1">
      <alignment horizontal="left" vertical="center" wrapText="1"/>
    </xf>
    <xf numFmtId="0" fontId="44" fillId="20" borderId="12" xfId="0" applyFont="1" applyFill="1" applyBorder="1" applyAlignment="1">
      <alignment horizontal="left" vertical="center"/>
    </xf>
    <xf numFmtId="0" fontId="42" fillId="0" borderId="17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/>
    </xf>
    <xf numFmtId="3" fontId="42" fillId="27" borderId="10" xfId="0" applyNumberFormat="1" applyFont="1" applyFill="1" applyBorder="1"/>
    <xf numFmtId="3" fontId="44" fillId="29" borderId="10" xfId="0" applyNumberFormat="1" applyFont="1" applyFill="1" applyBorder="1"/>
    <xf numFmtId="3" fontId="23" fillId="0" borderId="15" xfId="0" applyNumberFormat="1" applyFont="1" applyBorder="1" applyAlignment="1">
      <alignment horizontal="right" vertical="center" wrapText="1"/>
    </xf>
    <xf numFmtId="3" fontId="23" fillId="0" borderId="15" xfId="0" applyNumberFormat="1" applyFont="1" applyBorder="1" applyAlignment="1">
      <alignment horizontal="right" vertical="center"/>
    </xf>
    <xf numFmtId="3" fontId="25" fillId="0" borderId="15" xfId="0" applyNumberFormat="1" applyFont="1" applyBorder="1" applyAlignment="1">
      <alignment horizontal="center" wrapText="1"/>
    </xf>
    <xf numFmtId="3" fontId="32" fillId="5" borderId="15" xfId="0" applyNumberFormat="1" applyFont="1" applyFill="1" applyBorder="1"/>
    <xf numFmtId="3" fontId="44" fillId="0" borderId="14" xfId="0" applyNumberFormat="1" applyFont="1" applyBorder="1"/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/>
    </xf>
    <xf numFmtId="0" fontId="71" fillId="0" borderId="10" xfId="0" applyFont="1" applyBorder="1" applyAlignment="1">
      <alignment wrapText="1"/>
    </xf>
    <xf numFmtId="0" fontId="42" fillId="26" borderId="0" xfId="0" applyFont="1" applyFill="1"/>
    <xf numFmtId="0" fontId="49" fillId="26" borderId="10" xfId="0" applyFont="1" applyFill="1" applyBorder="1" applyAlignment="1">
      <alignment horizontal="left" vertical="center" wrapText="1"/>
    </xf>
    <xf numFmtId="0" fontId="42" fillId="26" borderId="10" xfId="0" applyFont="1" applyFill="1" applyBorder="1" applyAlignment="1">
      <alignment horizontal="left" vertical="center"/>
    </xf>
    <xf numFmtId="3" fontId="42" fillId="26" borderId="10" xfId="0" applyNumberFormat="1" applyFont="1" applyFill="1" applyBorder="1" applyAlignment="1">
      <alignment horizontal="left" vertical="center"/>
    </xf>
    <xf numFmtId="3" fontId="44" fillId="26" borderId="10" xfId="0" applyNumberFormat="1" applyFont="1" applyFill="1" applyBorder="1"/>
    <xf numFmtId="3" fontId="44" fillId="26" borderId="15" xfId="0" applyNumberFormat="1" applyFont="1" applyFill="1" applyBorder="1"/>
    <xf numFmtId="3" fontId="42" fillId="26" borderId="17" xfId="0" applyNumberFormat="1" applyFont="1" applyFill="1" applyBorder="1"/>
    <xf numFmtId="0" fontId="0" fillId="26" borderId="0" xfId="0" applyFill="1"/>
    <xf numFmtId="0" fontId="21" fillId="0" borderId="0" xfId="89" applyFont="1"/>
    <xf numFmtId="3" fontId="21" fillId="0" borderId="0" xfId="89" applyNumberFormat="1" applyFont="1" applyAlignment="1">
      <alignment horizontal="right"/>
    </xf>
    <xf numFmtId="3" fontId="21" fillId="0" borderId="0" xfId="89" applyNumberFormat="1" applyFont="1"/>
    <xf numFmtId="167" fontId="23" fillId="0" borderId="0" xfId="79" applyNumberFormat="1" applyFont="1" applyAlignment="1">
      <alignment horizontal="center" vertical="center"/>
    </xf>
    <xf numFmtId="0" fontId="72" fillId="0" borderId="0" xfId="89" applyFont="1"/>
    <xf numFmtId="0" fontId="21" fillId="0" borderId="0" xfId="78" applyFont="1"/>
    <xf numFmtId="0" fontId="23" fillId="0" borderId="0" xfId="89" applyFont="1" applyAlignment="1">
      <alignment horizontal="right"/>
    </xf>
    <xf numFmtId="0" fontId="73" fillId="0" borderId="0" xfId="0" applyFont="1" applyAlignment="1">
      <alignment horizontal="justify" wrapText="1"/>
    </xf>
    <xf numFmtId="0" fontId="21" fillId="0" borderId="0" xfId="89" applyFont="1" applyAlignment="1">
      <alignment horizontal="right"/>
    </xf>
    <xf numFmtId="0" fontId="21" fillId="0" borderId="0" xfId="89" applyFont="1" applyAlignment="1">
      <alignment horizontal="left"/>
    </xf>
    <xf numFmtId="3" fontId="21" fillId="0" borderId="0" xfId="0" applyNumberFormat="1" applyFont="1" applyAlignment="1">
      <alignment horizontal="left" vertical="center"/>
    </xf>
    <xf numFmtId="0" fontId="3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0" fontId="49" fillId="0" borderId="10" xfId="78" applyFont="1" applyBorder="1"/>
    <xf numFmtId="0" fontId="31" fillId="20" borderId="10" xfId="0" applyFont="1" applyFill="1" applyBorder="1"/>
    <xf numFmtId="3" fontId="31" fillId="20" borderId="10" xfId="0" applyNumberFormat="1" applyFont="1" applyFill="1" applyBorder="1"/>
    <xf numFmtId="0" fontId="21" fillId="0" borderId="10" xfId="0" applyFont="1" applyBorder="1" applyAlignment="1">
      <alignment horizontal="center"/>
    </xf>
    <xf numFmtId="0" fontId="23" fillId="20" borderId="10" xfId="0" applyFont="1" applyFill="1" applyBorder="1"/>
    <xf numFmtId="0" fontId="21" fillId="20" borderId="10" xfId="0" applyFont="1" applyFill="1" applyBorder="1"/>
    <xf numFmtId="3" fontId="23" fillId="20" borderId="10" xfId="0" applyNumberFormat="1" applyFont="1" applyFill="1" applyBorder="1"/>
    <xf numFmtId="0" fontId="22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49" fillId="0" borderId="0" xfId="90" applyFont="1"/>
    <xf numFmtId="0" fontId="21" fillId="0" borderId="0" xfId="90" applyFont="1"/>
    <xf numFmtId="0" fontId="49" fillId="0" borderId="0" xfId="91" applyFont="1" applyAlignment="1">
      <alignment horizontal="right"/>
    </xf>
    <xf numFmtId="0" fontId="49" fillId="0" borderId="11" xfId="91" applyFont="1" applyBorder="1" applyAlignment="1">
      <alignment horizontal="center" wrapText="1"/>
    </xf>
    <xf numFmtId="0" fontId="49" fillId="0" borderId="32" xfId="91" applyFont="1" applyBorder="1" applyAlignment="1">
      <alignment horizontal="center" wrapText="1"/>
    </xf>
    <xf numFmtId="0" fontId="49" fillId="0" borderId="29" xfId="91" applyFont="1" applyBorder="1" applyAlignment="1">
      <alignment horizontal="center"/>
    </xf>
    <xf numFmtId="0" fontId="49" fillId="0" borderId="30" xfId="91" applyFont="1" applyBorder="1" applyAlignment="1">
      <alignment horizontal="center"/>
    </xf>
    <xf numFmtId="0" fontId="49" fillId="0" borderId="33" xfId="91" applyFont="1" applyBorder="1" applyAlignment="1">
      <alignment horizontal="center"/>
    </xf>
    <xf numFmtId="0" fontId="21" fillId="0" borderId="34" xfId="91" applyFont="1" applyBorder="1" applyAlignment="1">
      <alignment horizontal="center" vertical="center"/>
    </xf>
    <xf numFmtId="0" fontId="21" fillId="0" borderId="12" xfId="91" applyFont="1" applyBorder="1" applyAlignment="1">
      <alignment horizontal="center" vertical="center" wrapText="1"/>
    </xf>
    <xf numFmtId="0" fontId="21" fillId="0" borderId="12" xfId="91" applyFont="1" applyBorder="1" applyAlignment="1">
      <alignment horizontal="center" vertical="center"/>
    </xf>
    <xf numFmtId="3" fontId="21" fillId="0" borderId="35" xfId="91" applyNumberFormat="1" applyFont="1" applyBorder="1" applyAlignment="1">
      <alignment horizontal="right" vertical="center" indent="1"/>
    </xf>
    <xf numFmtId="0" fontId="49" fillId="0" borderId="0" xfId="90" applyFont="1" applyAlignment="1">
      <alignment horizontal="center" vertical="center"/>
    </xf>
    <xf numFmtId="0" fontId="21" fillId="0" borderId="36" xfId="91" applyFont="1" applyBorder="1" applyAlignment="1">
      <alignment horizontal="center" vertical="center"/>
    </xf>
    <xf numFmtId="0" fontId="21" fillId="0" borderId="10" xfId="91" applyFont="1" applyBorder="1" applyAlignment="1">
      <alignment horizontal="center" vertical="center" wrapText="1"/>
    </xf>
    <xf numFmtId="0" fontId="21" fillId="0" borderId="10" xfId="91" applyFont="1" applyBorder="1" applyAlignment="1">
      <alignment horizontal="center" vertical="center"/>
    </xf>
    <xf numFmtId="3" fontId="21" fillId="0" borderId="37" xfId="91" applyNumberFormat="1" applyFont="1" applyBorder="1" applyAlignment="1">
      <alignment horizontal="right" vertical="center" indent="1"/>
    </xf>
    <xf numFmtId="0" fontId="49" fillId="0" borderId="36" xfId="91" applyFont="1" applyBorder="1" applyAlignment="1">
      <alignment horizontal="center" vertical="center"/>
    </xf>
    <xf numFmtId="0" fontId="49" fillId="0" borderId="38" xfId="91" applyFont="1" applyBorder="1" applyAlignment="1">
      <alignment horizontal="center" vertical="center"/>
    </xf>
    <xf numFmtId="0" fontId="21" fillId="0" borderId="16" xfId="91" applyFont="1" applyBorder="1" applyAlignment="1">
      <alignment horizontal="center" vertical="center" wrapText="1"/>
    </xf>
    <xf numFmtId="0" fontId="21" fillId="0" borderId="16" xfId="91" applyFont="1" applyBorder="1" applyAlignment="1">
      <alignment horizontal="center" vertical="center"/>
    </xf>
    <xf numFmtId="3" fontId="21" fillId="0" borderId="39" xfId="91" applyNumberFormat="1" applyFont="1" applyBorder="1" applyAlignment="1">
      <alignment horizontal="right" vertical="center" indent="1"/>
    </xf>
    <xf numFmtId="3" fontId="74" fillId="20" borderId="33" xfId="91" applyNumberFormat="1" applyFont="1" applyFill="1" applyBorder="1" applyAlignment="1">
      <alignment horizontal="right" indent="1"/>
    </xf>
    <xf numFmtId="0" fontId="37" fillId="0" borderId="0" xfId="0" applyFont="1" applyAlignment="1">
      <alignment horizontal="right" wrapText="1"/>
    </xf>
    <xf numFmtId="0" fontId="25" fillId="20" borderId="10" xfId="0" applyFont="1" applyFill="1" applyBorder="1" applyAlignment="1">
      <alignment vertical="center" wrapText="1"/>
    </xf>
    <xf numFmtId="165" fontId="25" fillId="20" borderId="10" xfId="0" applyNumberFormat="1" applyFont="1" applyFill="1" applyBorder="1" applyAlignment="1">
      <alignment vertical="center"/>
    </xf>
    <xf numFmtId="0" fontId="34" fillId="20" borderId="10" xfId="0" applyFont="1" applyFill="1" applyBorder="1"/>
    <xf numFmtId="3" fontId="23" fillId="20" borderId="10" xfId="0" applyNumberFormat="1" applyFont="1" applyFill="1" applyBorder="1" applyAlignment="1">
      <alignment horizontal="right" vertical="center" wrapText="1"/>
    </xf>
    <xf numFmtId="0" fontId="23" fillId="20" borderId="10" xfId="0" applyFont="1" applyFill="1" applyBorder="1" applyAlignment="1">
      <alignment horizontal="left" vertical="center"/>
    </xf>
    <xf numFmtId="3" fontId="25" fillId="20" borderId="10" xfId="0" applyNumberFormat="1" applyFont="1" applyFill="1" applyBorder="1" applyAlignment="1">
      <alignment horizontal="right"/>
    </xf>
    <xf numFmtId="3" fontId="23" fillId="20" borderId="10" xfId="0" applyNumberFormat="1" applyFont="1" applyFill="1" applyBorder="1" applyAlignment="1">
      <alignment horizontal="right" vertical="center"/>
    </xf>
    <xf numFmtId="0" fontId="25" fillId="20" borderId="10" xfId="0" applyFont="1" applyFill="1" applyBorder="1"/>
    <xf numFmtId="0" fontId="32" fillId="20" borderId="10" xfId="0" applyFont="1" applyFill="1" applyBorder="1" applyAlignment="1">
      <alignment horizontal="left" indent="2"/>
    </xf>
    <xf numFmtId="0" fontId="22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75" fillId="0" borderId="0" xfId="0" applyFont="1" applyAlignment="1">
      <alignment wrapText="1"/>
    </xf>
    <xf numFmtId="0" fontId="76" fillId="0" borderId="0" xfId="0" applyFont="1"/>
    <xf numFmtId="3" fontId="77" fillId="0" borderId="10" xfId="0" applyNumberFormat="1" applyFont="1" applyBorder="1" applyAlignment="1">
      <alignment horizontal="center" vertical="center"/>
    </xf>
    <xf numFmtId="168" fontId="77" fillId="0" borderId="10" xfId="0" applyNumberFormat="1" applyFont="1" applyBorder="1" applyAlignment="1">
      <alignment horizontal="center" vertical="center"/>
    </xf>
    <xf numFmtId="4" fontId="77" fillId="0" borderId="10" xfId="0" applyNumberFormat="1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5" fillId="0" borderId="10" xfId="0" applyNumberFormat="1" applyFont="1" applyBorder="1" applyAlignment="1">
      <alignment vertical="center"/>
    </xf>
    <xf numFmtId="4" fontId="78" fillId="0" borderId="10" xfId="0" applyNumberFormat="1" applyFont="1" applyBorder="1"/>
    <xf numFmtId="3" fontId="76" fillId="0" borderId="0" xfId="0" applyNumberFormat="1" applyFont="1"/>
    <xf numFmtId="3" fontId="76" fillId="20" borderId="0" xfId="0" applyNumberFormat="1" applyFont="1" applyFill="1"/>
    <xf numFmtId="0" fontId="76" fillId="20" borderId="0" xfId="0" applyFont="1" applyFill="1"/>
    <xf numFmtId="0" fontId="0" fillId="20" borderId="0" xfId="0" applyFill="1"/>
    <xf numFmtId="3" fontId="25" fillId="20" borderId="10" xfId="0" applyNumberFormat="1" applyFont="1" applyFill="1" applyBorder="1" applyAlignment="1">
      <alignment vertical="center"/>
    </xf>
    <xf numFmtId="0" fontId="76" fillId="0" borderId="10" xfId="0" applyFont="1" applyBorder="1"/>
    <xf numFmtId="3" fontId="76" fillId="0" borderId="10" xfId="0" applyNumberFormat="1" applyFont="1" applyBorder="1"/>
    <xf numFmtId="0" fontId="25" fillId="11" borderId="0" xfId="0" applyFont="1" applyFill="1"/>
    <xf numFmtId="3" fontId="25" fillId="11" borderId="0" xfId="0" applyNumberFormat="1" applyFont="1" applyFill="1"/>
    <xf numFmtId="3" fontId="25" fillId="20" borderId="0" xfId="0" applyNumberFormat="1" applyFont="1" applyFill="1"/>
    <xf numFmtId="4" fontId="25" fillId="20" borderId="0" xfId="0" applyNumberFormat="1" applyFont="1" applyFill="1"/>
    <xf numFmtId="169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center" wrapText="1"/>
    </xf>
    <xf numFmtId="0" fontId="79" fillId="0" borderId="0" xfId="0" applyFont="1"/>
    <xf numFmtId="0" fontId="25" fillId="0" borderId="0" xfId="0" applyFont="1" applyAlignment="1">
      <alignment horizontal="justify" wrapText="1"/>
    </xf>
    <xf numFmtId="168" fontId="77" fillId="0" borderId="10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justify" wrapText="1"/>
    </xf>
    <xf numFmtId="0" fontId="24" fillId="0" borderId="0" xfId="0" applyFont="1" applyAlignment="1">
      <alignment horizontal="justify" wrapText="1"/>
    </xf>
    <xf numFmtId="3" fontId="23" fillId="0" borderId="1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3" fontId="79" fillId="0" borderId="0" xfId="0" applyNumberFormat="1" applyFont="1"/>
    <xf numFmtId="0" fontId="22" fillId="0" borderId="0" xfId="0" applyFont="1" applyAlignment="1">
      <alignment horizontal="center" wrapText="1"/>
    </xf>
    <xf numFmtId="167" fontId="23" fillId="0" borderId="0" xfId="79" applyNumberFormat="1" applyFont="1" applyAlignment="1">
      <alignment horizontal="center" vertical="center"/>
    </xf>
    <xf numFmtId="3" fontId="25" fillId="0" borderId="10" xfId="0" applyNumberFormat="1" applyFont="1" applyBorder="1" applyAlignment="1">
      <alignment horizontal="center"/>
    </xf>
    <xf numFmtId="3" fontId="45" fillId="0" borderId="10" xfId="0" applyNumberFormat="1" applyFont="1" applyBorder="1" applyAlignment="1">
      <alignment horizontal="center"/>
    </xf>
    <xf numFmtId="3" fontId="25" fillId="0" borderId="15" xfId="0" applyNumberFormat="1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3" fontId="25" fillId="0" borderId="10" xfId="0" applyNumberFormat="1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19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60" fillId="0" borderId="20" xfId="75" applyFont="1" applyBorder="1" applyAlignment="1">
      <alignment horizontal="center" vertical="center" wrapText="1"/>
    </xf>
    <xf numFmtId="0" fontId="60" fillId="0" borderId="25" xfId="75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3" fontId="25" fillId="0" borderId="10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42" fillId="0" borderId="20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4" fillId="0" borderId="17" xfId="0" applyFont="1" applyBorder="1" applyAlignment="1">
      <alignment horizontal="center" vertical="center" wrapText="1"/>
    </xf>
    <xf numFmtId="0" fontId="23" fillId="0" borderId="0" xfId="90" applyFont="1" applyAlignment="1">
      <alignment horizontal="center"/>
    </xf>
    <xf numFmtId="0" fontId="49" fillId="0" borderId="29" xfId="91" applyFont="1" applyBorder="1" applyAlignment="1">
      <alignment horizontal="center" vertical="center" wrapText="1"/>
    </xf>
    <xf numFmtId="0" fontId="49" fillId="0" borderId="30" xfId="91" applyFont="1" applyBorder="1" applyAlignment="1">
      <alignment horizontal="center" vertical="center"/>
    </xf>
    <xf numFmtId="0" fontId="49" fillId="0" borderId="31" xfId="91" applyFont="1" applyBorder="1" applyAlignment="1">
      <alignment horizontal="center"/>
    </xf>
    <xf numFmtId="0" fontId="74" fillId="20" borderId="29" xfId="91" applyFont="1" applyFill="1" applyBorder="1" applyAlignment="1">
      <alignment horizontal="center"/>
    </xf>
    <xf numFmtId="0" fontId="28" fillId="0" borderId="0" xfId="0" applyFont="1" applyAlignment="1">
      <alignment horizont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 2" xfId="54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/>
    <cellStyle name="Jelölőszín (2)" xfId="65"/>
    <cellStyle name="Jelölőszín (3)" xfId="66"/>
    <cellStyle name="Jelölőszín (4)" xfId="67"/>
    <cellStyle name="Jelölőszín (5)" xfId="68"/>
    <cellStyle name="Jelölőszín (6)" xfId="69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6"/>
    <cellStyle name="Normál 3" xfId="77"/>
    <cellStyle name="Normál_2010. ktgvetés JÓ LESZ ÚJ" xfId="78"/>
    <cellStyle name="Normál_2013 évi ktgvetés IV név mód 2013 12 05" xfId="89"/>
    <cellStyle name="Normál_2013 évi ktgvetés melléklete 2013 12 21 egységes" xfId="90"/>
    <cellStyle name="Normál_kovetetttam2009" xfId="91"/>
    <cellStyle name="Normal_KTRSZJ" xfId="75"/>
    <cellStyle name="Normál_KVRENMUNKA" xfId="79"/>
    <cellStyle name="Note" xfId="80"/>
    <cellStyle name="Output" xfId="81"/>
    <cellStyle name="Összesen" xfId="88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/>
    <cellStyle name="Total" xfId="86"/>
    <cellStyle name="Warning Text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9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view="pageBreakPreview" zoomScale="80" zoomScaleNormal="62" zoomScaleSheetLayoutView="80" workbookViewId="0">
      <selection activeCell="B11" sqref="B11:B17"/>
    </sheetView>
  </sheetViews>
  <sheetFormatPr defaultRowHeight="15.75" x14ac:dyDescent="0.25"/>
  <cols>
    <col min="1" max="1" width="7.28515625" style="483" customWidth="1"/>
    <col min="2" max="2" width="81" style="483" customWidth="1"/>
    <col min="3" max="3" width="19.42578125" style="485" customWidth="1"/>
    <col min="4" max="16384" width="9.140625" style="483"/>
  </cols>
  <sheetData>
    <row r="1" spans="1:3" x14ac:dyDescent="0.25">
      <c r="B1" s="484"/>
    </row>
    <row r="2" spans="1:3" x14ac:dyDescent="0.25">
      <c r="C2" s="483"/>
    </row>
    <row r="3" spans="1:3" ht="18.75" customHeight="1" x14ac:dyDescent="0.3">
      <c r="A3" s="577" t="s">
        <v>828</v>
      </c>
      <c r="B3" s="577"/>
      <c r="C3" s="484"/>
    </row>
    <row r="4" spans="1:3" x14ac:dyDescent="0.25">
      <c r="C4" s="484"/>
    </row>
    <row r="5" spans="1:3" ht="12.75" customHeight="1" x14ac:dyDescent="0.25"/>
    <row r="6" spans="1:3" ht="12.75" customHeight="1" x14ac:dyDescent="0.25">
      <c r="A6" s="486"/>
      <c r="B6" s="486"/>
    </row>
    <row r="7" spans="1:3" x14ac:dyDescent="0.25">
      <c r="A7" s="578" t="s">
        <v>829</v>
      </c>
      <c r="B7" s="578"/>
    </row>
    <row r="9" spans="1:3" x14ac:dyDescent="0.25">
      <c r="A9" s="487"/>
    </row>
    <row r="11" spans="1:3" x14ac:dyDescent="0.25">
      <c r="B11" s="483" t="s">
        <v>0</v>
      </c>
    </row>
    <row r="12" spans="1:3" x14ac:dyDescent="0.25">
      <c r="B12" s="483" t="s">
        <v>1</v>
      </c>
    </row>
    <row r="13" spans="1:3" x14ac:dyDescent="0.25">
      <c r="B13" s="483" t="s">
        <v>2</v>
      </c>
    </row>
    <row r="14" spans="1:3" x14ac:dyDescent="0.25">
      <c r="B14" s="483" t="s">
        <v>3</v>
      </c>
    </row>
    <row r="15" spans="1:3" x14ac:dyDescent="0.25">
      <c r="B15" s="483" t="s">
        <v>4</v>
      </c>
    </row>
    <row r="16" spans="1:3" x14ac:dyDescent="0.25">
      <c r="B16" s="483" t="s">
        <v>830</v>
      </c>
    </row>
    <row r="17" spans="1:2" x14ac:dyDescent="0.25">
      <c r="B17" s="483" t="s">
        <v>5</v>
      </c>
    </row>
    <row r="18" spans="1:2" x14ac:dyDescent="0.25">
      <c r="B18" s="488"/>
    </row>
    <row r="19" spans="1:2" x14ac:dyDescent="0.25">
      <c r="B19" s="488"/>
    </row>
    <row r="20" spans="1:2" x14ac:dyDescent="0.25">
      <c r="A20" s="487"/>
    </row>
    <row r="27" spans="1:2" x14ac:dyDescent="0.25">
      <c r="B27" s="489"/>
    </row>
    <row r="28" spans="1:2" x14ac:dyDescent="0.25">
      <c r="B28" s="490"/>
    </row>
    <row r="29" spans="1:2" x14ac:dyDescent="0.25">
      <c r="B29" s="490"/>
    </row>
    <row r="30" spans="1:2" x14ac:dyDescent="0.25">
      <c r="B30" s="490"/>
    </row>
    <row r="31" spans="1:2" x14ac:dyDescent="0.25">
      <c r="B31" s="490"/>
    </row>
    <row r="32" spans="1:2" x14ac:dyDescent="0.25">
      <c r="B32" s="490"/>
    </row>
    <row r="33" spans="2:2" x14ac:dyDescent="0.25">
      <c r="B33" s="490"/>
    </row>
    <row r="34" spans="2:2" x14ac:dyDescent="0.25">
      <c r="B34" s="490"/>
    </row>
    <row r="35" spans="2:2" x14ac:dyDescent="0.25">
      <c r="B35" s="485"/>
    </row>
    <row r="36" spans="2:2" x14ac:dyDescent="0.25">
      <c r="B36" s="490"/>
    </row>
    <row r="37" spans="2:2" x14ac:dyDescent="0.25">
      <c r="B37" s="490"/>
    </row>
    <row r="38" spans="2:2" x14ac:dyDescent="0.25">
      <c r="B38" s="490"/>
    </row>
    <row r="39" spans="2:2" x14ac:dyDescent="0.25">
      <c r="B39" s="490"/>
    </row>
    <row r="40" spans="2:2" x14ac:dyDescent="0.25">
      <c r="B40" s="490"/>
    </row>
    <row r="41" spans="2:2" x14ac:dyDescent="0.25">
      <c r="B41" s="490"/>
    </row>
    <row r="42" spans="2:2" x14ac:dyDescent="0.25">
      <c r="B42" s="490"/>
    </row>
    <row r="43" spans="2:2" x14ac:dyDescent="0.25">
      <c r="B43" s="490"/>
    </row>
    <row r="44" spans="2:2" x14ac:dyDescent="0.25">
      <c r="B44" s="490"/>
    </row>
    <row r="45" spans="2:2" x14ac:dyDescent="0.25">
      <c r="B45" s="490"/>
    </row>
    <row r="46" spans="2:2" x14ac:dyDescent="0.25">
      <c r="B46" s="490"/>
    </row>
    <row r="47" spans="2:2" x14ac:dyDescent="0.25">
      <c r="B47" s="490"/>
    </row>
    <row r="48" spans="2:2" x14ac:dyDescent="0.25">
      <c r="B48" s="490"/>
    </row>
    <row r="49" spans="2:4" x14ac:dyDescent="0.25">
      <c r="B49" s="491"/>
    </row>
    <row r="50" spans="2:4" x14ac:dyDescent="0.25">
      <c r="B50" s="491"/>
    </row>
    <row r="51" spans="2:4" x14ac:dyDescent="0.25">
      <c r="B51" s="489"/>
    </row>
    <row r="52" spans="2:4" x14ac:dyDescent="0.25">
      <c r="B52" s="491"/>
      <c r="D52" s="492"/>
    </row>
    <row r="53" spans="2:4" x14ac:dyDescent="0.25">
      <c r="D53" s="492"/>
    </row>
    <row r="54" spans="2:4" x14ac:dyDescent="0.25">
      <c r="B54" s="491"/>
      <c r="D54" s="492"/>
    </row>
    <row r="55" spans="2:4" x14ac:dyDescent="0.25">
      <c r="B55" s="491"/>
      <c r="D55" s="492"/>
    </row>
    <row r="56" spans="2:4" x14ac:dyDescent="0.25">
      <c r="D56" s="491"/>
    </row>
    <row r="57" spans="2:4" x14ac:dyDescent="0.25">
      <c r="B57" s="491"/>
      <c r="D57" s="491"/>
    </row>
    <row r="58" spans="2:4" x14ac:dyDescent="0.25">
      <c r="B58" s="491"/>
      <c r="D58" s="491"/>
    </row>
    <row r="59" spans="2:4" x14ac:dyDescent="0.25">
      <c r="B59" s="489"/>
    </row>
    <row r="60" spans="2:4" x14ac:dyDescent="0.25">
      <c r="B60" s="491"/>
    </row>
    <row r="61" spans="2:4" x14ac:dyDescent="0.25">
      <c r="B61" s="491"/>
    </row>
    <row r="62" spans="2:4" x14ac:dyDescent="0.25">
      <c r="B62" s="491"/>
    </row>
    <row r="63" spans="2:4" x14ac:dyDescent="0.25">
      <c r="B63" s="491"/>
    </row>
    <row r="64" spans="2:4" x14ac:dyDescent="0.25">
      <c r="B64" s="491"/>
    </row>
    <row r="65" spans="2:2" x14ac:dyDescent="0.25">
      <c r="B65" s="489"/>
    </row>
    <row r="66" spans="2:2" x14ac:dyDescent="0.25">
      <c r="B66" s="491"/>
    </row>
    <row r="67" spans="2:2" x14ac:dyDescent="0.25">
      <c r="B67" s="491"/>
    </row>
    <row r="68" spans="2:2" x14ac:dyDescent="0.25">
      <c r="B68" s="491"/>
    </row>
    <row r="69" spans="2:2" x14ac:dyDescent="0.25">
      <c r="B69" s="491"/>
    </row>
    <row r="70" spans="2:2" x14ac:dyDescent="0.25">
      <c r="B70" s="491"/>
    </row>
    <row r="71" spans="2:2" x14ac:dyDescent="0.25">
      <c r="B71" s="491"/>
    </row>
    <row r="72" spans="2:2" x14ac:dyDescent="0.25">
      <c r="B72" s="489"/>
    </row>
    <row r="73" spans="2:2" x14ac:dyDescent="0.25">
      <c r="B73" s="491"/>
    </row>
    <row r="74" spans="2:2" x14ac:dyDescent="0.25">
      <c r="B74" s="491"/>
    </row>
    <row r="75" spans="2:2" x14ac:dyDescent="0.25">
      <c r="B75" s="491"/>
    </row>
    <row r="76" spans="2:2" x14ac:dyDescent="0.25">
      <c r="B76" s="491"/>
    </row>
    <row r="77" spans="2:2" x14ac:dyDescent="0.25">
      <c r="B77" s="491"/>
    </row>
    <row r="78" spans="2:2" x14ac:dyDescent="0.25">
      <c r="B78" s="491"/>
    </row>
    <row r="79" spans="2:2" x14ac:dyDescent="0.25">
      <c r="B79" s="489"/>
    </row>
    <row r="80" spans="2:2" x14ac:dyDescent="0.25">
      <c r="B80" s="491"/>
    </row>
    <row r="81" spans="2:3" x14ac:dyDescent="0.25">
      <c r="B81" s="491"/>
    </row>
    <row r="82" spans="2:3" x14ac:dyDescent="0.25">
      <c r="B82" s="491"/>
    </row>
    <row r="83" spans="2:3" x14ac:dyDescent="0.25">
      <c r="B83" s="491"/>
    </row>
    <row r="84" spans="2:3" x14ac:dyDescent="0.25">
      <c r="B84" s="489"/>
    </row>
    <row r="85" spans="2:3" x14ac:dyDescent="0.25">
      <c r="B85" s="491"/>
    </row>
    <row r="86" spans="2:3" x14ac:dyDescent="0.25">
      <c r="B86" s="491"/>
    </row>
    <row r="87" spans="2:3" x14ac:dyDescent="0.25">
      <c r="B87" s="491"/>
    </row>
    <row r="88" spans="2:3" x14ac:dyDescent="0.25">
      <c r="B88" s="489"/>
    </row>
    <row r="89" spans="2:3" x14ac:dyDescent="0.25">
      <c r="B89" s="491"/>
    </row>
    <row r="90" spans="2:3" x14ac:dyDescent="0.25">
      <c r="B90" s="491"/>
      <c r="C90" s="493"/>
    </row>
    <row r="91" spans="2:3" x14ac:dyDescent="0.25">
      <c r="C91" s="493"/>
    </row>
  </sheetData>
  <sheetProtection selectLockedCells="1" selectUnlockedCells="1"/>
  <mergeCells count="2">
    <mergeCell ref="A3:B3"/>
    <mergeCell ref="A7:B7"/>
  </mergeCells>
  <printOptions horizontalCentered="1"/>
  <pageMargins left="0.78749999999999998" right="0.78749999999999998" top="0.98402777777777772" bottom="0.82708333333333328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view="pageBreakPreview" zoomScale="80" zoomScaleNormal="62" zoomScaleSheetLayoutView="80" workbookViewId="0">
      <selection activeCell="G1" sqref="G1"/>
    </sheetView>
  </sheetViews>
  <sheetFormatPr defaultRowHeight="15.75" x14ac:dyDescent="0.25"/>
  <cols>
    <col min="1" max="1" width="58.28515625" style="2" customWidth="1"/>
    <col min="2" max="3" width="15.5703125" style="3" bestFit="1" customWidth="1"/>
    <col min="4" max="4" width="15.140625" style="3" customWidth="1"/>
    <col min="5" max="6" width="15.42578125" style="3" customWidth="1"/>
    <col min="7" max="7" width="16.140625" style="3" customWidth="1"/>
    <col min="8" max="16384" width="9.140625" style="2"/>
  </cols>
  <sheetData>
    <row r="1" spans="1:7" ht="18.75" x14ac:dyDescent="0.25">
      <c r="G1" s="4" t="s">
        <v>900</v>
      </c>
    </row>
    <row r="2" spans="1:7" x14ac:dyDescent="0.25">
      <c r="G2" s="5" t="s">
        <v>808</v>
      </c>
    </row>
    <row r="3" spans="1:7" x14ac:dyDescent="0.25">
      <c r="D3" s="5"/>
      <c r="G3" s="5"/>
    </row>
    <row r="4" spans="1:7" ht="40.5" x14ac:dyDescent="0.3">
      <c r="A4" s="6" t="s">
        <v>767</v>
      </c>
    </row>
    <row r="5" spans="1:7" ht="20.25" x14ac:dyDescent="0.3">
      <c r="A5" s="6"/>
    </row>
    <row r="6" spans="1:7" ht="50.25" customHeight="1" x14ac:dyDescent="0.35">
      <c r="A6" s="7" t="s">
        <v>718</v>
      </c>
    </row>
    <row r="7" spans="1:7" ht="19.5" x14ac:dyDescent="0.35">
      <c r="A7" s="7"/>
    </row>
    <row r="8" spans="1:7" x14ac:dyDescent="0.25">
      <c r="B8" s="579" t="s">
        <v>6</v>
      </c>
      <c r="C8" s="579"/>
      <c r="D8" s="579"/>
      <c r="E8" s="579" t="s">
        <v>7</v>
      </c>
      <c r="F8" s="579"/>
      <c r="G8" s="579"/>
    </row>
    <row r="9" spans="1:7" s="11" customFormat="1" ht="31.5" x14ac:dyDescent="0.25">
      <c r="A9" s="8" t="s">
        <v>8</v>
      </c>
      <c r="B9" s="9" t="s">
        <v>9</v>
      </c>
      <c r="C9" s="9" t="s">
        <v>10</v>
      </c>
      <c r="D9" s="10" t="s">
        <v>11</v>
      </c>
      <c r="E9" s="9" t="s">
        <v>9</v>
      </c>
      <c r="F9" s="9" t="s">
        <v>10</v>
      </c>
      <c r="G9" s="10" t="s">
        <v>11</v>
      </c>
    </row>
    <row r="10" spans="1:7" x14ac:dyDescent="0.25">
      <c r="A10" s="12" t="s">
        <v>12</v>
      </c>
      <c r="B10" s="13">
        <f>+'2 Össz'!C9</f>
        <v>1113059507</v>
      </c>
      <c r="C10" s="13">
        <f>+'2 Össz'!D9</f>
        <v>597958249</v>
      </c>
      <c r="D10" s="14">
        <f t="shared" ref="D10:D17" si="0">SUM(B10:C10)</f>
        <v>1711017756</v>
      </c>
      <c r="E10" s="13">
        <f>+'2 Össz'!F9</f>
        <v>1145988377</v>
      </c>
      <c r="F10" s="13">
        <f>+'2 Össz'!G9</f>
        <v>593258476</v>
      </c>
      <c r="G10" s="14">
        <f t="shared" ref="G10:G17" si="1">SUM(E10:F10)</f>
        <v>1739246853</v>
      </c>
    </row>
    <row r="11" spans="1:7" x14ac:dyDescent="0.25">
      <c r="A11" s="12" t="s">
        <v>13</v>
      </c>
      <c r="B11" s="13">
        <f>+'2 Össz'!C10</f>
        <v>196800738</v>
      </c>
      <c r="C11" s="13">
        <f>+'2 Össz'!D10</f>
        <v>107232019</v>
      </c>
      <c r="D11" s="14">
        <f t="shared" si="0"/>
        <v>304032757</v>
      </c>
      <c r="E11" s="13">
        <f>+'2 Össz'!F10</f>
        <v>202487181</v>
      </c>
      <c r="F11" s="13">
        <f>+'2 Össz'!G10</f>
        <v>105815553</v>
      </c>
      <c r="G11" s="14">
        <f t="shared" si="1"/>
        <v>308302734</v>
      </c>
    </row>
    <row r="12" spans="1:7" x14ac:dyDescent="0.25">
      <c r="A12" s="12" t="s">
        <v>14</v>
      </c>
      <c r="B12" s="13">
        <f>+'2 Össz'!C16</f>
        <v>780477819</v>
      </c>
      <c r="C12" s="13">
        <f>+'2 Össz'!D16</f>
        <v>556565424</v>
      </c>
      <c r="D12" s="14">
        <f t="shared" si="0"/>
        <v>1337043243</v>
      </c>
      <c r="E12" s="13">
        <f>+'2 Össz'!F16</f>
        <v>808918163</v>
      </c>
      <c r="F12" s="13">
        <f>+'2 Össz'!G16</f>
        <v>559127764</v>
      </c>
      <c r="G12" s="14">
        <f t="shared" si="1"/>
        <v>1368045927</v>
      </c>
    </row>
    <row r="13" spans="1:7" x14ac:dyDescent="0.25">
      <c r="A13" s="12" t="s">
        <v>15</v>
      </c>
      <c r="B13" s="13">
        <f>+'2 Össz'!C17</f>
        <v>60000000</v>
      </c>
      <c r="C13" s="13">
        <f>+'2 Össz'!D17</f>
        <v>0</v>
      </c>
      <c r="D13" s="14">
        <f t="shared" si="0"/>
        <v>60000000</v>
      </c>
      <c r="E13" s="13">
        <f>+'2 Össz'!F17</f>
        <v>60000000</v>
      </c>
      <c r="F13" s="13">
        <f>+'2 Össz'!G17</f>
        <v>0</v>
      </c>
      <c r="G13" s="14">
        <f t="shared" si="1"/>
        <v>60000000</v>
      </c>
    </row>
    <row r="14" spans="1:7" x14ac:dyDescent="0.25">
      <c r="A14" s="12" t="s">
        <v>16</v>
      </c>
      <c r="B14" s="13">
        <f>+'2 Össz'!C32</f>
        <v>58774500</v>
      </c>
      <c r="C14" s="13">
        <f>+'2 Össz'!D32</f>
        <v>42205456</v>
      </c>
      <c r="D14" s="14">
        <f t="shared" si="0"/>
        <v>100979956</v>
      </c>
      <c r="E14" s="13">
        <f>+'2 Össz'!F32</f>
        <v>47579199</v>
      </c>
      <c r="F14" s="13">
        <f>+'2 Össz'!G32</f>
        <v>42246856</v>
      </c>
      <c r="G14" s="14">
        <f t="shared" si="1"/>
        <v>89826055</v>
      </c>
    </row>
    <row r="15" spans="1:7" x14ac:dyDescent="0.25">
      <c r="A15" s="12" t="s">
        <v>17</v>
      </c>
      <c r="B15" s="13">
        <f>+'2 Össz'!C41</f>
        <v>981646971</v>
      </c>
      <c r="C15" s="13">
        <f>+'2 Össz'!D41</f>
        <v>76610912</v>
      </c>
      <c r="D15" s="14">
        <f t="shared" si="0"/>
        <v>1058257883</v>
      </c>
      <c r="E15" s="13">
        <f>+'2 Össz'!F41</f>
        <v>985091871</v>
      </c>
      <c r="F15" s="13">
        <f>+'2 Össz'!G41</f>
        <v>85291812</v>
      </c>
      <c r="G15" s="14">
        <f t="shared" si="1"/>
        <v>1070383683</v>
      </c>
    </row>
    <row r="16" spans="1:7" x14ac:dyDescent="0.25">
      <c r="A16" s="12" t="s">
        <v>18</v>
      </c>
      <c r="B16" s="13">
        <f>+'2 Össz'!C46</f>
        <v>1006544648</v>
      </c>
      <c r="C16" s="13">
        <f>+'2 Össz'!D46</f>
        <v>421845491</v>
      </c>
      <c r="D16" s="14">
        <f t="shared" si="0"/>
        <v>1428390139</v>
      </c>
      <c r="E16" s="13">
        <f>+'2 Össz'!F46</f>
        <v>1004766891</v>
      </c>
      <c r="F16" s="13">
        <f>+'2 Össz'!G46</f>
        <v>420095491</v>
      </c>
      <c r="G16" s="14">
        <f t="shared" si="1"/>
        <v>1424862382</v>
      </c>
    </row>
    <row r="17" spans="1:7" x14ac:dyDescent="0.25">
      <c r="A17" s="12" t="s">
        <v>19</v>
      </c>
      <c r="B17" s="13">
        <f>+'2 Össz'!C56</f>
        <v>13101000</v>
      </c>
      <c r="C17" s="13">
        <f>+'2 Össz'!D56</f>
        <v>0</v>
      </c>
      <c r="D17" s="14">
        <f t="shared" si="0"/>
        <v>13101000</v>
      </c>
      <c r="E17" s="13">
        <f>+'2 Össz'!F56</f>
        <v>13101000</v>
      </c>
      <c r="F17" s="13">
        <f>+'2 Össz'!G56</f>
        <v>0</v>
      </c>
      <c r="G17" s="14">
        <f t="shared" si="1"/>
        <v>13101000</v>
      </c>
    </row>
    <row r="18" spans="1:7" s="16" customFormat="1" x14ac:dyDescent="0.25">
      <c r="A18" s="15" t="s">
        <v>20</v>
      </c>
      <c r="B18" s="14">
        <f t="shared" ref="B18:G18" si="2">SUM(B10:B17)</f>
        <v>4210405183</v>
      </c>
      <c r="C18" s="14">
        <f t="shared" si="2"/>
        <v>1802417551</v>
      </c>
      <c r="D18" s="14">
        <f t="shared" si="2"/>
        <v>6012822734</v>
      </c>
      <c r="E18" s="14">
        <f t="shared" si="2"/>
        <v>4267932682</v>
      </c>
      <c r="F18" s="14">
        <f t="shared" si="2"/>
        <v>1805835952</v>
      </c>
      <c r="G18" s="14">
        <f t="shared" si="2"/>
        <v>6073768634</v>
      </c>
    </row>
    <row r="19" spans="1:7" s="16" customFormat="1" x14ac:dyDescent="0.25">
      <c r="A19" s="15" t="s">
        <v>21</v>
      </c>
      <c r="B19" s="14">
        <f>+'2 Össz'!C75</f>
        <v>129349120</v>
      </c>
      <c r="C19" s="14">
        <f>+'2 Össz'!D75</f>
        <v>0</v>
      </c>
      <c r="D19" s="14">
        <f>SUM(B19:C19)</f>
        <v>129349120</v>
      </c>
      <c r="E19" s="14">
        <f>+'2 Össz'!F75</f>
        <v>129349120</v>
      </c>
      <c r="F19" s="14">
        <f>+'2 Össz'!G75</f>
        <v>0</v>
      </c>
      <c r="G19" s="14">
        <f>SUM(E19:F19)</f>
        <v>129349120</v>
      </c>
    </row>
    <row r="20" spans="1:7" s="16" customFormat="1" x14ac:dyDescent="0.25">
      <c r="A20" s="17" t="s">
        <v>22</v>
      </c>
      <c r="B20" s="18">
        <f t="shared" ref="B20:G20" si="3">+B19+B18</f>
        <v>4339754303</v>
      </c>
      <c r="C20" s="18">
        <f t="shared" si="3"/>
        <v>1802417551</v>
      </c>
      <c r="D20" s="18">
        <f t="shared" si="3"/>
        <v>6142171854</v>
      </c>
      <c r="E20" s="18">
        <f t="shared" si="3"/>
        <v>4397281802</v>
      </c>
      <c r="F20" s="18">
        <f t="shared" si="3"/>
        <v>1805835952</v>
      </c>
      <c r="G20" s="18">
        <f t="shared" si="3"/>
        <v>6203117754</v>
      </c>
    </row>
    <row r="21" spans="1:7" x14ac:dyDescent="0.25">
      <c r="A21" s="12" t="s">
        <v>23</v>
      </c>
      <c r="B21" s="13">
        <f>+'2 Össz'!C92</f>
        <v>1357436403</v>
      </c>
      <c r="C21" s="13">
        <f>+'2 Össz'!D92</f>
        <v>810203780</v>
      </c>
      <c r="D21" s="14">
        <f t="shared" ref="D21:D27" si="4">SUM(B21:C21)</f>
        <v>2167640183</v>
      </c>
      <c r="E21" s="13">
        <f>+'2 Össz'!F92</f>
        <v>1393394227</v>
      </c>
      <c r="F21" s="13">
        <f>+'2 Össz'!G92</f>
        <v>810203780</v>
      </c>
      <c r="G21" s="14">
        <f t="shared" ref="G21:G27" si="5">SUM(E21:F21)</f>
        <v>2203598007</v>
      </c>
    </row>
    <row r="22" spans="1:7" x14ac:dyDescent="0.25">
      <c r="A22" s="12" t="s">
        <v>24</v>
      </c>
      <c r="B22" s="13">
        <f>+'2 Össz'!C93</f>
        <v>690056378</v>
      </c>
      <c r="C22" s="13">
        <f>+'2 Össz'!D93</f>
        <v>502853243</v>
      </c>
      <c r="D22" s="14">
        <f t="shared" si="4"/>
        <v>1192909621</v>
      </c>
      <c r="E22" s="13">
        <f>+'2 Össz'!F93</f>
        <v>690056378</v>
      </c>
      <c r="F22" s="13">
        <f>+'2 Össz'!G93</f>
        <v>502853243</v>
      </c>
      <c r="G22" s="14">
        <f t="shared" si="5"/>
        <v>1192909621</v>
      </c>
    </row>
    <row r="23" spans="1:7" x14ac:dyDescent="0.25">
      <c r="A23" s="12" t="s">
        <v>25</v>
      </c>
      <c r="B23" s="13">
        <f>+'2 Össz'!C100</f>
        <v>447690808</v>
      </c>
      <c r="C23" s="13">
        <f>+'2 Össz'!D100</f>
        <v>54609192</v>
      </c>
      <c r="D23" s="14">
        <f t="shared" si="4"/>
        <v>502300000</v>
      </c>
      <c r="E23" s="13">
        <f>+'2 Össz'!F100</f>
        <v>447690808</v>
      </c>
      <c r="F23" s="13">
        <f>+'2 Össz'!G100</f>
        <v>54609192</v>
      </c>
      <c r="G23" s="14">
        <f t="shared" si="5"/>
        <v>502300000</v>
      </c>
    </row>
    <row r="24" spans="1:7" x14ac:dyDescent="0.25">
      <c r="A24" s="12" t="s">
        <v>26</v>
      </c>
      <c r="B24" s="13">
        <f>+'2 Össz'!C112</f>
        <v>275201867</v>
      </c>
      <c r="C24" s="13">
        <f>+'2 Össz'!D112</f>
        <v>246052864</v>
      </c>
      <c r="D24" s="14">
        <f t="shared" si="4"/>
        <v>521254731</v>
      </c>
      <c r="E24" s="13">
        <f>+'2 Össz'!F112</f>
        <v>276451867</v>
      </c>
      <c r="F24" s="13">
        <f>+'2 Össz'!G112</f>
        <v>246052864</v>
      </c>
      <c r="G24" s="14">
        <f t="shared" si="5"/>
        <v>522504731</v>
      </c>
    </row>
    <row r="25" spans="1:7" x14ac:dyDescent="0.25">
      <c r="A25" s="12" t="s">
        <v>27</v>
      </c>
      <c r="B25" s="13">
        <f>+'2 Össz'!C118</f>
        <v>65700000</v>
      </c>
      <c r="C25" s="13">
        <f>+'2 Össz'!D118</f>
        <v>0</v>
      </c>
      <c r="D25" s="14">
        <f t="shared" si="4"/>
        <v>65700000</v>
      </c>
      <c r="E25" s="13">
        <f>+'2 Össz'!F118</f>
        <v>65700000</v>
      </c>
      <c r="F25" s="13">
        <f>+'2 Össz'!G118</f>
        <v>0</v>
      </c>
      <c r="G25" s="14">
        <f t="shared" si="5"/>
        <v>65700000</v>
      </c>
    </row>
    <row r="26" spans="1:7" x14ac:dyDescent="0.25">
      <c r="A26" s="12" t="s">
        <v>28</v>
      </c>
      <c r="B26" s="13">
        <f>+'2 Össz'!C119</f>
        <v>5434500</v>
      </c>
      <c r="C26" s="13">
        <f>+'2 Össz'!D119</f>
        <v>0</v>
      </c>
      <c r="D26" s="14">
        <f t="shared" si="4"/>
        <v>5434500</v>
      </c>
      <c r="E26" s="13">
        <f>+'2 Össz'!F119</f>
        <v>6774565</v>
      </c>
      <c r="F26" s="13">
        <f>+'2 Össz'!G119</f>
        <v>0</v>
      </c>
      <c r="G26" s="14">
        <f t="shared" si="5"/>
        <v>6774565</v>
      </c>
    </row>
    <row r="27" spans="1:7" x14ac:dyDescent="0.25">
      <c r="A27" s="12" t="s">
        <v>29</v>
      </c>
      <c r="B27" s="13">
        <f>+'2 Össz'!C125</f>
        <v>29400000</v>
      </c>
      <c r="C27" s="13">
        <f>+'2 Össz'!D125</f>
        <v>0</v>
      </c>
      <c r="D27" s="14">
        <f t="shared" si="4"/>
        <v>29400000</v>
      </c>
      <c r="E27" s="13">
        <f>+'2 Össz'!F125</f>
        <v>29400000</v>
      </c>
      <c r="F27" s="13">
        <f>+'2 Össz'!G125</f>
        <v>0</v>
      </c>
      <c r="G27" s="14">
        <f t="shared" si="5"/>
        <v>29400000</v>
      </c>
    </row>
    <row r="28" spans="1:7" s="16" customFormat="1" x14ac:dyDescent="0.25">
      <c r="A28" s="15" t="s">
        <v>30</v>
      </c>
      <c r="B28" s="14">
        <f t="shared" ref="B28:G28" si="6">SUM(B21:B27)</f>
        <v>2870919956</v>
      </c>
      <c r="C28" s="14">
        <f t="shared" si="6"/>
        <v>1613719079</v>
      </c>
      <c r="D28" s="14">
        <f t="shared" si="6"/>
        <v>4484639035</v>
      </c>
      <c r="E28" s="14">
        <f t="shared" si="6"/>
        <v>2909467845</v>
      </c>
      <c r="F28" s="14">
        <f t="shared" si="6"/>
        <v>1613719079</v>
      </c>
      <c r="G28" s="14">
        <f t="shared" si="6"/>
        <v>4523186924</v>
      </c>
    </row>
    <row r="29" spans="1:7" s="16" customFormat="1" x14ac:dyDescent="0.25">
      <c r="A29" s="15" t="s">
        <v>31</v>
      </c>
      <c r="B29" s="14">
        <f>+'2 Össz'!C153</f>
        <v>1468834347</v>
      </c>
      <c r="C29" s="14">
        <f>+'2 Össz'!D153</f>
        <v>188698472</v>
      </c>
      <c r="D29" s="14">
        <f>SUM(B29:C29)</f>
        <v>1657532819</v>
      </c>
      <c r="E29" s="14">
        <f>+'2 Össz'!F153</f>
        <v>1491232358</v>
      </c>
      <c r="F29" s="14">
        <f>+'2 Össz'!G153</f>
        <v>188698472</v>
      </c>
      <c r="G29" s="14">
        <f>SUM(E29:F29)</f>
        <v>1679930830</v>
      </c>
    </row>
    <row r="30" spans="1:7" s="16" customFormat="1" x14ac:dyDescent="0.25">
      <c r="A30" s="17" t="s">
        <v>32</v>
      </c>
      <c r="B30" s="18">
        <f t="shared" ref="B30:G30" si="7">+B29+B28</f>
        <v>4339754303</v>
      </c>
      <c r="C30" s="18">
        <f t="shared" si="7"/>
        <v>1802417551</v>
      </c>
      <c r="D30" s="18">
        <f t="shared" si="7"/>
        <v>6142171854</v>
      </c>
      <c r="E30" s="18">
        <f t="shared" si="7"/>
        <v>4400700203</v>
      </c>
      <c r="F30" s="18">
        <f t="shared" si="7"/>
        <v>1802417551</v>
      </c>
      <c r="G30" s="18">
        <f t="shared" si="7"/>
        <v>6203117754</v>
      </c>
    </row>
    <row r="33" spans="2:7" x14ac:dyDescent="0.25">
      <c r="B33" s="3">
        <f t="shared" ref="B33:G33" si="8">+B30-B20</f>
        <v>0</v>
      </c>
      <c r="C33" s="3">
        <f t="shared" si="8"/>
        <v>0</v>
      </c>
      <c r="D33" s="3">
        <f t="shared" si="8"/>
        <v>0</v>
      </c>
      <c r="E33" s="3">
        <f t="shared" si="8"/>
        <v>3418401</v>
      </c>
      <c r="F33" s="3">
        <f t="shared" si="8"/>
        <v>-3418401</v>
      </c>
      <c r="G33" s="3">
        <f t="shared" si="8"/>
        <v>0</v>
      </c>
    </row>
  </sheetData>
  <sheetProtection selectLockedCells="1" selectUnlockedCells="1"/>
  <mergeCells count="2">
    <mergeCell ref="B8:D8"/>
    <mergeCell ref="E8:G8"/>
  </mergeCells>
  <pageMargins left="0.70833333333333337" right="0.40972222222222221" top="0.74791666666666667" bottom="0.74861111111111112" header="0.51180555555555551" footer="0.31527777777777777"/>
  <pageSetup paperSize="9" scale="60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L281"/>
  <sheetViews>
    <sheetView view="pageBreakPreview" zoomScale="70" zoomScaleSheetLayoutView="70" workbookViewId="0">
      <selection activeCell="H1" sqref="H1"/>
    </sheetView>
  </sheetViews>
  <sheetFormatPr defaultColWidth="11.5703125" defaultRowHeight="15.75" x14ac:dyDescent="0.25"/>
  <cols>
    <col min="1" max="1" width="66.5703125" style="19" customWidth="1"/>
    <col min="2" max="2" width="10.42578125" style="19" customWidth="1"/>
    <col min="3" max="3" width="14.28515625" customWidth="1"/>
    <col min="4" max="4" width="14.7109375" customWidth="1"/>
    <col min="5" max="5" width="14.5703125" style="247" customWidth="1"/>
    <col min="6" max="6" width="16.42578125" style="21" customWidth="1"/>
    <col min="7" max="7" width="15.140625" style="21" customWidth="1"/>
    <col min="8" max="8" width="16.85546875" style="22" customWidth="1"/>
    <col min="9" max="246" width="9.140625" style="19" customWidth="1"/>
  </cols>
  <sheetData>
    <row r="1" spans="1:8" s="2" customFormat="1" ht="17.25" x14ac:dyDescent="0.25">
      <c r="C1" s="106"/>
      <c r="D1" s="106"/>
      <c r="F1" s="3"/>
      <c r="G1" s="3"/>
      <c r="H1" s="229" t="s">
        <v>901</v>
      </c>
    </row>
    <row r="2" spans="1:8" s="2" customFormat="1" x14ac:dyDescent="0.25">
      <c r="A2" s="23"/>
      <c r="C2" s="106"/>
      <c r="D2" s="106"/>
      <c r="F2" s="3"/>
      <c r="G2" s="3"/>
      <c r="H2" s="5" t="str">
        <f>+'1 kiem'!G2</f>
        <v>a 2/2020.(II.27. ) önkormányzati rendelethez</v>
      </c>
    </row>
    <row r="3" spans="1:8" s="2" customFormat="1" ht="18.75" x14ac:dyDescent="0.3">
      <c r="A3" s="1" t="s">
        <v>767</v>
      </c>
      <c r="B3" s="24"/>
      <c r="C3" s="230"/>
      <c r="D3" s="109"/>
      <c r="E3" s="230"/>
      <c r="F3" s="27"/>
      <c r="G3" s="28"/>
    </row>
    <row r="4" spans="1:8" s="2" customFormat="1" x14ac:dyDescent="0.25">
      <c r="A4" s="29" t="s">
        <v>717</v>
      </c>
      <c r="B4" s="30"/>
      <c r="C4" s="108"/>
      <c r="D4" s="108"/>
      <c r="E4" s="231"/>
      <c r="F4" s="32"/>
      <c r="G4" s="32"/>
      <c r="H4" s="33"/>
    </row>
    <row r="5" spans="1:8" x14ac:dyDescent="0.25">
      <c r="A5" s="34"/>
      <c r="C5" s="580" t="s">
        <v>6</v>
      </c>
      <c r="D5" s="580"/>
      <c r="E5" s="580"/>
      <c r="F5" s="579" t="s">
        <v>7</v>
      </c>
      <c r="G5" s="579"/>
      <c r="H5" s="579"/>
    </row>
    <row r="6" spans="1:8" ht="31.5" x14ac:dyDescent="0.25">
      <c r="A6" s="8" t="s">
        <v>8</v>
      </c>
      <c r="B6" s="35" t="s">
        <v>33</v>
      </c>
      <c r="C6" s="232" t="s">
        <v>9</v>
      </c>
      <c r="D6" s="232" t="s">
        <v>10</v>
      </c>
      <c r="E6" s="233" t="s">
        <v>11</v>
      </c>
      <c r="F6" s="37" t="s">
        <v>9</v>
      </c>
      <c r="G6" s="37" t="s">
        <v>10</v>
      </c>
      <c r="H6" s="38" t="s">
        <v>11</v>
      </c>
    </row>
    <row r="7" spans="1:8" x14ac:dyDescent="0.25">
      <c r="A7" s="39" t="s">
        <v>34</v>
      </c>
      <c r="B7" s="40" t="s">
        <v>35</v>
      </c>
      <c r="C7" s="234">
        <f>+'7 Önk'!D7+'8 PH'!D7+'9 VGIG'!D7+'10 Járób'!D7+'11 Szoci'!D7+'12 Ovi'!D7+'13 Művház'!D7+'14 Könyvt'!D7+'19 EU projektek'!D7</f>
        <v>1068662867</v>
      </c>
      <c r="D7" s="234">
        <f>+'7 Önk'!E7+'8 PH'!E7+'9 VGIG'!E7+'10 Járób'!E7+'11 Szoci'!E7+'12 Ovi'!E7+'13 Művház'!E7+'14 Könyvt'!E7+'19 EU projektek'!E7</f>
        <v>538285908</v>
      </c>
      <c r="E7" s="235">
        <f>+C7+D7</f>
        <v>1606948775</v>
      </c>
      <c r="F7" s="234">
        <f>+'7 Önk'!G7+'8 PH'!G7+'9 VGIG'!G7+'10 Járób'!G7+'11 Szoci'!G7+'12 Ovi'!G7+'13 Művház'!G7+'14 Könyvt'!G7+'19 EU projektek'!G7</f>
        <v>1068072747</v>
      </c>
      <c r="G7" s="234">
        <f>+'7 Önk'!H7+'8 PH'!H7+'9 VGIG'!H7+'10 Járób'!H7+'11 Szoci'!H7+'12 Ovi'!H7+'13 Művház'!H7+'14 Könyvt'!H7+'19 EU projektek'!H7</f>
        <v>531584403</v>
      </c>
      <c r="H7" s="431">
        <f>+F7+G7</f>
        <v>1599657150</v>
      </c>
    </row>
    <row r="8" spans="1:8" x14ac:dyDescent="0.25">
      <c r="A8" s="41" t="s">
        <v>36</v>
      </c>
      <c r="B8" s="40" t="s">
        <v>37</v>
      </c>
      <c r="C8" s="234">
        <f>+'7 Önk'!D8+'8 PH'!D8+'9 VGIG'!D8+'10 Járób'!D8+'11 Szoci'!D8+'12 Ovi'!D8+'13 Művház'!D8+'14 Könyvt'!D8+'19 EU projektek'!D8</f>
        <v>44396640</v>
      </c>
      <c r="D8" s="234">
        <f>+'7 Önk'!E8+'8 PH'!E8+'9 VGIG'!E8+'10 Járób'!E8+'11 Szoci'!E8+'12 Ovi'!E8+'13 Művház'!E8+'14 Könyvt'!E8+'19 EU projektek'!E8</f>
        <v>59672341</v>
      </c>
      <c r="E8" s="235">
        <f>+C8+D8</f>
        <v>104068981</v>
      </c>
      <c r="F8" s="234">
        <f>+'7 Önk'!G8+'8 PH'!G8+'9 VGIG'!G8+'10 Járób'!G8+'11 Szoci'!G8+'12 Ovi'!G8+'13 Művház'!G8+'14 Könyvt'!G8+'19 EU projektek'!G8</f>
        <v>77915630</v>
      </c>
      <c r="G8" s="234">
        <f>+'7 Önk'!H8+'8 PH'!H8+'9 VGIG'!H8+'10 Járób'!H8+'11 Szoci'!H8+'12 Ovi'!H8+'13 Művház'!H8+'14 Könyvt'!H8+'19 EU projektek'!H8</f>
        <v>61674073</v>
      </c>
      <c r="H8" s="431">
        <f>+F8+G8</f>
        <v>139589703</v>
      </c>
    </row>
    <row r="9" spans="1:8" x14ac:dyDescent="0.25">
      <c r="A9" s="42" t="s">
        <v>38</v>
      </c>
      <c r="B9" s="43" t="s">
        <v>39</v>
      </c>
      <c r="C9" s="235">
        <f t="shared" ref="C9:H9" si="0">SUM(C7:C8)</f>
        <v>1113059507</v>
      </c>
      <c r="D9" s="235">
        <f t="shared" si="0"/>
        <v>597958249</v>
      </c>
      <c r="E9" s="235">
        <f t="shared" si="0"/>
        <v>1711017756</v>
      </c>
      <c r="F9" s="235">
        <f>SUM(F7:F8)</f>
        <v>1145988377</v>
      </c>
      <c r="G9" s="235">
        <f>SUM(G7:G8)</f>
        <v>593258476</v>
      </c>
      <c r="H9" s="431">
        <f t="shared" si="0"/>
        <v>1739246853</v>
      </c>
    </row>
    <row r="10" spans="1:8" x14ac:dyDescent="0.25">
      <c r="A10" s="44" t="s">
        <v>40</v>
      </c>
      <c r="B10" s="43" t="s">
        <v>41</v>
      </c>
      <c r="C10" s="234">
        <f>+'7 Önk'!D10+'8 PH'!D10+'9 VGIG'!D10+'10 Járób'!D10+'11 Szoci'!D10+'12 Ovi'!D10+'13 Művház'!D10+'14 Könyvt'!D10+'19 EU projektek'!D10</f>
        <v>196800738</v>
      </c>
      <c r="D10" s="234">
        <f>+'7 Önk'!E10+'8 PH'!E10+'9 VGIG'!E10+'10 Járób'!E10+'11 Szoci'!E10+'12 Ovi'!E10+'13 Művház'!E10+'14 Könyvt'!E10+'19 EU projektek'!E10</f>
        <v>107232019</v>
      </c>
      <c r="E10" s="235">
        <f t="shared" ref="E10:E15" si="1">+C10+D10</f>
        <v>304032757</v>
      </c>
      <c r="F10" s="234">
        <f>+'7 Önk'!G10+'8 PH'!G10+'9 VGIG'!G10+'10 Járób'!G10+'11 Szoci'!G10+'12 Ovi'!G10+'13 Művház'!G10+'14 Könyvt'!G10+'19 EU projektek'!G10</f>
        <v>202487181</v>
      </c>
      <c r="G10" s="234">
        <f>+'7 Önk'!H10+'8 PH'!H10+'9 VGIG'!H10+'10 Járób'!H10+'11 Szoci'!H10+'12 Ovi'!H10+'13 Művház'!H10+'14 Könyvt'!H10+'19 EU projektek'!H10</f>
        <v>105815553</v>
      </c>
      <c r="H10" s="431">
        <f t="shared" ref="H10:H15" si="2">+F10+G10</f>
        <v>308302734</v>
      </c>
    </row>
    <row r="11" spans="1:8" x14ac:dyDescent="0.25">
      <c r="A11" s="41" t="s">
        <v>42</v>
      </c>
      <c r="B11" s="40" t="s">
        <v>43</v>
      </c>
      <c r="C11" s="234">
        <f>+'7 Önk'!D11+'8 PH'!D11+'9 VGIG'!D11+'10 Járób'!D11+'11 Szoci'!D11+'12 Ovi'!D11+'13 Művház'!D11+'14 Könyvt'!D11+'19 EU projektek'!D11+'16 szociális kiad'!D10</f>
        <v>221326060</v>
      </c>
      <c r="D11" s="234">
        <f>+'7 Önk'!E11+'8 PH'!E11+'9 VGIG'!E11+'10 Járób'!E11+'11 Szoci'!E11+'12 Ovi'!E11+'13 Művház'!E11+'14 Könyvt'!E11+'19 EU projektek'!E11</f>
        <v>64984733</v>
      </c>
      <c r="E11" s="235">
        <f t="shared" si="1"/>
        <v>286310793</v>
      </c>
      <c r="F11" s="234">
        <f>+'7 Önk'!G11+'8 PH'!G11+'9 VGIG'!G11+'10 Járób'!G11+'11 Szoci'!G11+'12 Ovi'!G11+'13 Művház'!G11+'14 Könyvt'!G11+'19 EU projektek'!G11</f>
        <v>225762029</v>
      </c>
      <c r="G11" s="234">
        <f>+'7 Önk'!H11+'8 PH'!H11+'9 VGIG'!H11+'10 Járób'!H11+'11 Szoci'!H11+'12 Ovi'!H11+'13 Művház'!H11+'14 Könyvt'!H11+'19 EU projektek'!H11</f>
        <v>47803063</v>
      </c>
      <c r="H11" s="431">
        <f t="shared" si="2"/>
        <v>273565092</v>
      </c>
    </row>
    <row r="12" spans="1:8" x14ac:dyDescent="0.25">
      <c r="A12" s="41" t="s">
        <v>44</v>
      </c>
      <c r="B12" s="40" t="s">
        <v>45</v>
      </c>
      <c r="C12" s="234">
        <f>+'7 Önk'!D12+'8 PH'!D12+'9 VGIG'!D12+'10 Járób'!D12+'11 Szoci'!D12+'12 Ovi'!D12+'13 Művház'!D12+'14 Könyvt'!D12+'19 EU projektek'!D12</f>
        <v>7644000</v>
      </c>
      <c r="D12" s="234">
        <f>+'7 Önk'!E12+'8 PH'!E12+'9 VGIG'!E12+'10 Járób'!E12+'11 Szoci'!E12+'12 Ovi'!E12+'13 Művház'!E12+'14 Könyvt'!E12+'19 EU projektek'!E12</f>
        <v>6674943</v>
      </c>
      <c r="E12" s="235">
        <f t="shared" si="1"/>
        <v>14318943</v>
      </c>
      <c r="F12" s="234">
        <f>+'7 Önk'!G12+'8 PH'!G12+'9 VGIG'!G12+'10 Járób'!G12+'11 Szoci'!G12+'12 Ovi'!G12+'13 Művház'!G12+'14 Könyvt'!G12+'19 EU projektek'!G12</f>
        <v>7744000</v>
      </c>
      <c r="G12" s="234">
        <f>+'7 Önk'!H12+'8 PH'!H12+'9 VGIG'!H12+'10 Járób'!H12+'11 Szoci'!H12+'12 Ovi'!H12+'13 Művház'!H12+'14 Könyvt'!H12+'19 EU projektek'!H12</f>
        <v>10592608</v>
      </c>
      <c r="H12" s="431">
        <f t="shared" si="2"/>
        <v>18336608</v>
      </c>
    </row>
    <row r="13" spans="1:8" x14ac:dyDescent="0.25">
      <c r="A13" s="41" t="s">
        <v>46</v>
      </c>
      <c r="B13" s="40" t="s">
        <v>47</v>
      </c>
      <c r="C13" s="234">
        <f>+'7 Önk'!D13+'8 PH'!D13+'9 VGIG'!D13+'10 Járób'!D13+'11 Szoci'!D13+'12 Ovi'!D13+'13 Művház'!D13+'14 Könyvt'!D13+'19 EU projektek'!D13</f>
        <v>355689587</v>
      </c>
      <c r="D13" s="234">
        <f>+'7 Önk'!E13+'8 PH'!E13+'9 VGIG'!E13+'10 Járób'!E13+'11 Szoci'!E13+'12 Ovi'!E13+'13 Művház'!E13+'14 Könyvt'!E13+'19 EU projektek'!E13</f>
        <v>346265700</v>
      </c>
      <c r="E13" s="235">
        <f t="shared" si="1"/>
        <v>701955287</v>
      </c>
      <c r="F13" s="234">
        <f>+'7 Önk'!G13+'8 PH'!G13+'9 VGIG'!G13+'10 Járób'!G13+'11 Szoci'!G13+'12 Ovi'!G13+'13 Művház'!G13+'14 Könyvt'!G13+'19 EU projektek'!G13</f>
        <v>359853327</v>
      </c>
      <c r="G13" s="234">
        <f>+'7 Önk'!H13+'8 PH'!H13+'9 VGIG'!H13+'10 Járób'!H13+'11 Szoci'!H13+'12 Ovi'!H13+'13 Művház'!H13+'14 Könyvt'!H13+'19 EU projektek'!H13</f>
        <v>364484940</v>
      </c>
      <c r="H13" s="431">
        <f t="shared" si="2"/>
        <v>724338267</v>
      </c>
    </row>
    <row r="14" spans="1:8" x14ac:dyDescent="0.25">
      <c r="A14" s="41" t="s">
        <v>48</v>
      </c>
      <c r="B14" s="40" t="s">
        <v>49</v>
      </c>
      <c r="C14" s="234">
        <f>+'7 Önk'!D14+'8 PH'!D14+'9 VGIG'!D14+'10 Járób'!D14+'11 Szoci'!D14+'12 Ovi'!D14+'13 Művház'!D14+'14 Könyvt'!D14+'19 EU projektek'!D14</f>
        <v>7615000</v>
      </c>
      <c r="D14" s="234">
        <f>+'7 Önk'!E14+'8 PH'!E14+'9 VGIG'!E14+'10 Járób'!E14+'11 Szoci'!E14+'12 Ovi'!E14+'13 Művház'!E14+'14 Könyvt'!E14+'19 EU projektek'!E14</f>
        <v>41353191</v>
      </c>
      <c r="E14" s="235">
        <f t="shared" si="1"/>
        <v>48968191</v>
      </c>
      <c r="F14" s="234">
        <f>+'7 Önk'!G14+'8 PH'!G14+'9 VGIG'!G14+'10 Járób'!G14+'11 Szoci'!G14+'12 Ovi'!G14+'13 Művház'!G14+'14 Könyvt'!G14+'19 EU projektek'!G14</f>
        <v>7418307</v>
      </c>
      <c r="G14" s="234">
        <f>+'7 Önk'!H14+'8 PH'!H14+'9 VGIG'!H14+'10 Járób'!H14+'11 Szoci'!H14+'12 Ovi'!H14+'13 Művház'!H14+'14 Könyvt'!H14+'19 EU projektek'!H14</f>
        <v>39855369</v>
      </c>
      <c r="H14" s="431">
        <f t="shared" si="2"/>
        <v>47273676</v>
      </c>
    </row>
    <row r="15" spans="1:8" x14ac:dyDescent="0.25">
      <c r="A15" s="41" t="s">
        <v>50</v>
      </c>
      <c r="B15" s="40" t="s">
        <v>51</v>
      </c>
      <c r="C15" s="234">
        <f>+'7 Önk'!D15+'8 PH'!D15+'9 VGIG'!D15+'10 Járób'!D15+'11 Szoci'!D15+'12 Ovi'!D15+'13 Művház'!D15+'14 Könyvt'!D15+'19 EU projektek'!D15+'16 szociális kiad'!D11</f>
        <v>188203172</v>
      </c>
      <c r="D15" s="234">
        <f>+'7 Önk'!E15+'8 PH'!E15+'9 VGIG'!E15+'10 Járób'!E15+'11 Szoci'!E15+'12 Ovi'!E15+'13 Művház'!E15+'14 Könyvt'!E15+'19 EU projektek'!E15</f>
        <v>97286857</v>
      </c>
      <c r="E15" s="235">
        <f t="shared" si="1"/>
        <v>285490029</v>
      </c>
      <c r="F15" s="234">
        <f>+'7 Önk'!G15+'8 PH'!G15+'9 VGIG'!G15+'10 Járób'!G15+'11 Szoci'!G15+'12 Ovi'!G15+'13 Művház'!G15+'14 Könyvt'!G15+'19 EU projektek'!G15</f>
        <v>208140500</v>
      </c>
      <c r="G15" s="234">
        <f>+'7 Önk'!H15+'8 PH'!H15+'9 VGIG'!H15+'10 Járób'!H15+'11 Szoci'!H15+'12 Ovi'!H15+'13 Művház'!H15+'14 Könyvt'!H15+'19 EU projektek'!H15</f>
        <v>96391784</v>
      </c>
      <c r="H15" s="431">
        <f t="shared" si="2"/>
        <v>304532284</v>
      </c>
    </row>
    <row r="16" spans="1:8" x14ac:dyDescent="0.25">
      <c r="A16" s="44" t="s">
        <v>52</v>
      </c>
      <c r="B16" s="43" t="s">
        <v>53</v>
      </c>
      <c r="C16" s="235">
        <f t="shared" ref="C16:H16" si="3">SUM(C11:C15)</f>
        <v>780477819</v>
      </c>
      <c r="D16" s="235">
        <f t="shared" si="3"/>
        <v>556565424</v>
      </c>
      <c r="E16" s="235">
        <f t="shared" si="3"/>
        <v>1337043243</v>
      </c>
      <c r="F16" s="235">
        <f>SUM(F11:F15)</f>
        <v>808918163</v>
      </c>
      <c r="G16" s="235">
        <f>SUM(G11:G15)</f>
        <v>559127764</v>
      </c>
      <c r="H16" s="431">
        <f t="shared" si="3"/>
        <v>1368045927</v>
      </c>
    </row>
    <row r="17" spans="1:8" x14ac:dyDescent="0.25">
      <c r="A17" s="45" t="s">
        <v>54</v>
      </c>
      <c r="B17" s="43" t="s">
        <v>55</v>
      </c>
      <c r="C17" s="235">
        <f>+'7 Önk'!D17+'8 PH'!D17+'9 VGIG'!D17+'10 Járób'!D17+'11 Szoci'!D17+'12 Ovi'!D17+'13 Művház'!D17+'14 Könyvt'!D17+'16 szociális kiad'!D26</f>
        <v>60000000</v>
      </c>
      <c r="D17" s="234">
        <f>+'7 Önk'!E17+'8 PH'!E17+'9 VGIG'!E17+'10 Járób'!E17+'11 Szoci'!E17+'12 Ovi'!E17+'13 Művház'!E17+'14 Könyvt'!E17</f>
        <v>0</v>
      </c>
      <c r="E17" s="235">
        <f t="shared" ref="E17:E27" si="4">+C17+D17</f>
        <v>60000000</v>
      </c>
      <c r="F17" s="235">
        <f>+'7 Önk'!G17+'8 PH'!G17+'9 VGIG'!G17+'10 Járób'!G17+'11 Szoci'!G17+'12 Ovi'!G17+'13 Művház'!G17+'14 Könyvt'!G17+'16 szociális kiad'!E26</f>
        <v>60000000</v>
      </c>
      <c r="G17" s="234">
        <f>+'7 Önk'!H17+'8 PH'!H17+'9 VGIG'!H17+'10 Járób'!H17+'11 Szoci'!H17+'12 Ovi'!H17+'13 Művház'!H17+'14 Könyvt'!H17</f>
        <v>0</v>
      </c>
      <c r="H17" s="431">
        <f t="shared" ref="H17:H27" si="5">+F17+G17</f>
        <v>60000000</v>
      </c>
    </row>
    <row r="18" spans="1:8" x14ac:dyDescent="0.25">
      <c r="A18" s="46" t="s">
        <v>56</v>
      </c>
      <c r="B18" s="40" t="s">
        <v>57</v>
      </c>
      <c r="C18" s="234">
        <f>+'7 Önk'!D18+'8 PH'!D18+'9 VGIG'!D18+'10 Járób'!D18+'11 Szoci'!D18+'12 Ovi'!D18+'13 Művház'!D18+'14 Könyvt'!D18</f>
        <v>0</v>
      </c>
      <c r="D18" s="234">
        <f>+'7 Önk'!E18+'8 PH'!E18+'9 VGIG'!E18+'10 Járób'!E18+'11 Szoci'!E18+'12 Ovi'!E18+'13 Művház'!E18+'14 Könyvt'!E18</f>
        <v>0</v>
      </c>
      <c r="E18" s="235">
        <f t="shared" si="4"/>
        <v>0</v>
      </c>
      <c r="F18" s="234">
        <f>+'7 Önk'!G18+'8 PH'!G18+'9 VGIG'!G18+'10 Járób'!G18+'11 Szoci'!G18+'12 Ovi'!G18+'13 Művház'!G18+'14 Könyvt'!G18</f>
        <v>0</v>
      </c>
      <c r="G18" s="234">
        <f>+'7 Önk'!H18+'8 PH'!H18+'9 VGIG'!H18+'10 Járób'!H18+'11 Szoci'!H18+'12 Ovi'!H18+'13 Művház'!H18+'14 Könyvt'!H18</f>
        <v>0</v>
      </c>
      <c r="H18" s="431">
        <f t="shared" si="5"/>
        <v>0</v>
      </c>
    </row>
    <row r="19" spans="1:8" x14ac:dyDescent="0.25">
      <c r="A19" s="46" t="s">
        <v>58</v>
      </c>
      <c r="B19" s="40" t="s">
        <v>59</v>
      </c>
      <c r="C19" s="234">
        <f>+'7 Önk'!D19+'8 PH'!D19+'9 VGIG'!D19+'10 Járób'!D19+'11 Szoci'!D19+'12 Ovi'!D19+'13 Művház'!D19+'14 Könyvt'!D19</f>
        <v>10434500</v>
      </c>
      <c r="D19" s="234">
        <f>+'7 Önk'!E19+'8 PH'!E19+'9 VGIG'!E19+'10 Járób'!E19+'11 Szoci'!E19+'12 Ovi'!E19+'13 Művház'!E19+'14 Könyvt'!E19</f>
        <v>0</v>
      </c>
      <c r="E19" s="235">
        <f t="shared" si="4"/>
        <v>10434500</v>
      </c>
      <c r="F19" s="234">
        <f>+'7 Önk'!G19+'8 PH'!G19+'9 VGIG'!G19+'10 Járób'!G19+'11 Szoci'!G19+'12 Ovi'!G19+'13 Művház'!G19+'14 Könyvt'!G19+'19 EU projektek'!G19</f>
        <v>10434500</v>
      </c>
      <c r="G19" s="234">
        <f>+'7 Önk'!H19+'8 PH'!H19+'9 VGIG'!H19+'10 Járób'!H19+'11 Szoci'!H19+'12 Ovi'!H19+'13 Művház'!H19+'14 Könyvt'!H19+'19 EU projektek'!H19</f>
        <v>0</v>
      </c>
      <c r="H19" s="431">
        <f t="shared" si="5"/>
        <v>10434500</v>
      </c>
    </row>
    <row r="20" spans="1:8" ht="31.5" x14ac:dyDescent="0.25">
      <c r="A20" s="46" t="s">
        <v>60</v>
      </c>
      <c r="B20" s="40" t="s">
        <v>61</v>
      </c>
      <c r="C20" s="234">
        <f>+'7 Önk'!D20+'8 PH'!D20+'9 VGIG'!D20+'10 Járób'!D20+'11 Szoci'!D20+'12 Ovi'!D20+'13 Művház'!D20+'14 Könyvt'!D20</f>
        <v>0</v>
      </c>
      <c r="D20" s="234">
        <f>+'7 Önk'!E20+'8 PH'!E20+'9 VGIG'!E20+'10 Járób'!E20+'11 Szoci'!E20+'12 Ovi'!E20+'13 Művház'!E20+'14 Könyvt'!E20</f>
        <v>0</v>
      </c>
      <c r="E20" s="235">
        <f t="shared" si="4"/>
        <v>0</v>
      </c>
      <c r="F20" s="234">
        <f>+'7 Önk'!G20+'8 PH'!G20+'9 VGIG'!G20+'10 Járób'!G20+'11 Szoci'!G20+'12 Ovi'!G20+'13 Művház'!G20+'14 Könyvt'!G20+'19 EU projektek'!G20</f>
        <v>0</v>
      </c>
      <c r="G20" s="234">
        <f>+'7 Önk'!H20+'8 PH'!H20+'9 VGIG'!H20+'10 Járób'!H20+'11 Szoci'!H20+'12 Ovi'!H20+'13 Művház'!H20+'14 Könyvt'!H20+'19 EU projektek'!H20</f>
        <v>0</v>
      </c>
      <c r="H20" s="431">
        <f t="shared" si="5"/>
        <v>0</v>
      </c>
    </row>
    <row r="21" spans="1:8" ht="31.5" x14ac:dyDescent="0.25">
      <c r="A21" s="46" t="s">
        <v>62</v>
      </c>
      <c r="B21" s="40" t="s">
        <v>63</v>
      </c>
      <c r="C21" s="234">
        <f>+'7 Önk'!D21+'8 PH'!D21+'9 VGIG'!D21+'10 Járób'!D21+'11 Szoci'!D21+'12 Ovi'!D21+'13 Művház'!D21+'14 Könyvt'!D21</f>
        <v>0</v>
      </c>
      <c r="D21" s="234">
        <f>+'7 Önk'!E21+'8 PH'!E21+'9 VGIG'!E21+'10 Járób'!E21+'11 Szoci'!E21+'12 Ovi'!E21+'13 Művház'!E21+'14 Könyvt'!E21</f>
        <v>0</v>
      </c>
      <c r="E21" s="235">
        <f t="shared" si="4"/>
        <v>0</v>
      </c>
      <c r="F21" s="234">
        <f>+'7 Önk'!G21+'8 PH'!G21+'9 VGIG'!G21+'10 Járób'!G21+'11 Szoci'!G21+'12 Ovi'!G21+'13 Művház'!G21+'14 Könyvt'!G21+'19 EU projektek'!G21</f>
        <v>0</v>
      </c>
      <c r="G21" s="234">
        <f>+'7 Önk'!H21+'8 PH'!H21+'9 VGIG'!H21+'10 Járób'!H21+'11 Szoci'!H21+'12 Ovi'!H21+'13 Művház'!H21+'14 Könyvt'!H21+'19 EU projektek'!H21</f>
        <v>0</v>
      </c>
      <c r="H21" s="431">
        <f t="shared" si="5"/>
        <v>0</v>
      </c>
    </row>
    <row r="22" spans="1:8" x14ac:dyDescent="0.25">
      <c r="A22" s="46" t="s">
        <v>64</v>
      </c>
      <c r="B22" s="40" t="s">
        <v>65</v>
      </c>
      <c r="C22" s="234">
        <f>+'7 Önk'!D22+'8 PH'!D22+'9 VGIG'!D22+'10 Járób'!D22+'11 Szoci'!D22+'12 Ovi'!D22+'13 Művház'!D22+'14 Könyvt'!D22</f>
        <v>0</v>
      </c>
      <c r="D22" s="234">
        <f>+'7 Önk'!E22+'8 PH'!E22+'9 VGIG'!E22+'10 Járób'!E22+'11 Szoci'!E22+'12 Ovi'!E22+'13 Művház'!E22+'14 Könyvt'!E22</f>
        <v>0</v>
      </c>
      <c r="E22" s="235">
        <f t="shared" si="4"/>
        <v>0</v>
      </c>
      <c r="F22" s="234">
        <f>+'7 Önk'!G22+'8 PH'!G22+'9 VGIG'!G22+'10 Járób'!G22+'11 Szoci'!G22+'12 Ovi'!G22+'13 Művház'!G22+'14 Könyvt'!G22+'19 EU projektek'!G22</f>
        <v>0</v>
      </c>
      <c r="G22" s="234">
        <f>+'7 Önk'!H22+'8 PH'!H22+'9 VGIG'!H22+'10 Járób'!H22+'11 Szoci'!H22+'12 Ovi'!H22+'13 Művház'!H22+'14 Könyvt'!H22+'19 EU projektek'!H22</f>
        <v>0</v>
      </c>
      <c r="H22" s="431">
        <f t="shared" si="5"/>
        <v>0</v>
      </c>
    </row>
    <row r="23" spans="1:8" x14ac:dyDescent="0.25">
      <c r="A23" s="46" t="s">
        <v>66</v>
      </c>
      <c r="B23" s="40" t="s">
        <v>67</v>
      </c>
      <c r="C23" s="234">
        <f>+'7 Önk'!D23+'8 PH'!D23+'9 VGIG'!D23+'10 Járób'!D23+'11 Szoci'!D23+'12 Ovi'!D23+'13 Művház'!D23+'14 Könyvt'!D23+'19 EU projektek'!D23</f>
        <v>750000</v>
      </c>
      <c r="D23" s="234">
        <f>+'7 Önk'!E23+'8 PH'!E23+'9 VGIG'!E23+'10 Járób'!E23+'11 Szoci'!E23+'12 Ovi'!E23+'13 Művház'!E23+'14 Könyvt'!E23+'19 EU projektek'!E23</f>
        <v>8805456</v>
      </c>
      <c r="E23" s="235">
        <f t="shared" si="4"/>
        <v>9555456</v>
      </c>
      <c r="F23" s="234">
        <f>+'7 Önk'!G23+'8 PH'!G23+'9 VGIG'!G23+'10 Járób'!G23+'11 Szoci'!G23+'12 Ovi'!G23+'13 Művház'!G23+'14 Könyvt'!G23+'19 EU projektek'!G23</f>
        <v>750000</v>
      </c>
      <c r="G23" s="234">
        <f>+'7 Önk'!H23+'8 PH'!H23+'9 VGIG'!H23+'10 Járób'!H23+'11 Szoci'!H23+'12 Ovi'!H23+'13 Művház'!H23+'14 Könyvt'!H23+'19 EU projektek'!H23</f>
        <v>10805456</v>
      </c>
      <c r="H23" s="431">
        <f t="shared" si="5"/>
        <v>11555456</v>
      </c>
    </row>
    <row r="24" spans="1:8" ht="31.5" x14ac:dyDescent="0.25">
      <c r="A24" s="46" t="s">
        <v>68</v>
      </c>
      <c r="B24" s="40" t="s">
        <v>69</v>
      </c>
      <c r="C24" s="234">
        <f>+'7 Önk'!D24+'8 PH'!D24+'9 VGIG'!D24+'10 Járób'!D24+'11 Szoci'!D24+'12 Ovi'!D24+'13 Művház'!D24+'14 Könyvt'!D24</f>
        <v>0</v>
      </c>
      <c r="D24" s="234">
        <f>+'7 Önk'!E24+'8 PH'!E24+'9 VGIG'!E24+'10 Járób'!E24+'11 Szoci'!E24+'12 Ovi'!E24+'13 Művház'!E24+'14 Könyvt'!E24</f>
        <v>0</v>
      </c>
      <c r="E24" s="235">
        <f t="shared" si="4"/>
        <v>0</v>
      </c>
      <c r="F24" s="13">
        <f>+'7 Önk'!G24+'8 PH'!G24+'9 VGIG'!G24+'10 Járób'!G24+'11 Szoci'!G24+'12 Ovi'!G24+'13 Művház'!G24+'14 Könyvt'!G24</f>
        <v>0</v>
      </c>
      <c r="G24" s="13">
        <f>+'7 Önk'!H24+'8 PH'!H24+'9 VGIG'!H24+'10 Járób'!H24+'11 Szoci'!H24+'12 Ovi'!H24+'13 Művház'!H24+'14 Könyvt'!H24</f>
        <v>0</v>
      </c>
      <c r="H24" s="431">
        <f t="shared" si="5"/>
        <v>0</v>
      </c>
    </row>
    <row r="25" spans="1:8" ht="31.5" x14ac:dyDescent="0.25">
      <c r="A25" s="46" t="s">
        <v>70</v>
      </c>
      <c r="B25" s="40" t="s">
        <v>71</v>
      </c>
      <c r="C25" s="234">
        <f>+'7 Önk'!D25+'8 PH'!D25+'9 VGIG'!D25+'10 Járób'!D25+'11 Szoci'!D25+'12 Ovi'!D25+'13 Művház'!D25+'14 Könyvt'!D25</f>
        <v>0</v>
      </c>
      <c r="D25" s="234">
        <f>+'7 Önk'!E25+'8 PH'!E25+'9 VGIG'!E25+'10 Járób'!E25+'11 Szoci'!E25+'12 Ovi'!E25+'13 Művház'!E25+'14 Könyvt'!E25</f>
        <v>0</v>
      </c>
      <c r="E25" s="235">
        <f t="shared" si="4"/>
        <v>0</v>
      </c>
      <c r="F25" s="13">
        <f>+'7 Önk'!G25+'8 PH'!G25+'9 VGIG'!G25+'10 Járób'!G25+'11 Szoci'!G25+'12 Ovi'!G25+'13 Művház'!G25+'14 Könyvt'!G25</f>
        <v>0</v>
      </c>
      <c r="G25" s="13">
        <f>+'7 Önk'!H25+'8 PH'!H25+'9 VGIG'!H25+'10 Járób'!H25+'11 Szoci'!H25+'12 Ovi'!H25+'13 Művház'!H25+'14 Könyvt'!H25</f>
        <v>0</v>
      </c>
      <c r="H25" s="431">
        <f t="shared" si="5"/>
        <v>0</v>
      </c>
    </row>
    <row r="26" spans="1:8" x14ac:dyDescent="0.25">
      <c r="A26" s="46" t="s">
        <v>72</v>
      </c>
      <c r="B26" s="40" t="s">
        <v>73</v>
      </c>
      <c r="C26" s="234">
        <f>+'7 Önk'!D26+'8 PH'!D26+'9 VGIG'!D26+'10 Járób'!D26+'11 Szoci'!D26+'12 Ovi'!D26+'13 Művház'!D26+'14 Könyvt'!D26</f>
        <v>0</v>
      </c>
      <c r="D26" s="234">
        <f>+'7 Önk'!E26+'8 PH'!E26+'9 VGIG'!E26+'10 Járób'!E26+'11 Szoci'!E26+'12 Ovi'!E26+'13 Művház'!E26+'14 Könyvt'!E26</f>
        <v>0</v>
      </c>
      <c r="E26" s="235">
        <f t="shared" si="4"/>
        <v>0</v>
      </c>
      <c r="F26" s="13">
        <f>+'7 Önk'!G26+'8 PH'!G26+'9 VGIG'!G26+'10 Járób'!G26+'11 Szoci'!G26+'12 Ovi'!G26+'13 Művház'!G26+'14 Könyvt'!G26</f>
        <v>0</v>
      </c>
      <c r="G26" s="13">
        <f>+'7 Önk'!H26+'8 PH'!H26+'9 VGIG'!H26+'10 Járób'!H26+'11 Szoci'!H26+'12 Ovi'!H26+'13 Művház'!H26+'14 Könyvt'!H26</f>
        <v>0</v>
      </c>
      <c r="H26" s="431">
        <f t="shared" si="5"/>
        <v>0</v>
      </c>
    </row>
    <row r="27" spans="1:8" x14ac:dyDescent="0.25">
      <c r="A27" s="47" t="s">
        <v>74</v>
      </c>
      <c r="B27" s="40" t="s">
        <v>75</v>
      </c>
      <c r="C27" s="234">
        <f>+'7 Önk'!D27+'8 PH'!D27+'9 VGIG'!D27+'10 Járób'!D27+'11 Szoci'!D27+'12 Ovi'!D27+'13 Művház'!D27+'14 Könyvt'!D27</f>
        <v>0</v>
      </c>
      <c r="D27" s="234">
        <f>+'7 Önk'!E27+'8 PH'!E27+'9 VGIG'!E27+'10 Járób'!E27+'11 Szoci'!E27+'12 Ovi'!E27+'13 Művház'!E27+'14 Könyvt'!E27</f>
        <v>0</v>
      </c>
      <c r="E27" s="235">
        <f t="shared" si="4"/>
        <v>0</v>
      </c>
      <c r="F27" s="13">
        <f>+'7 Önk'!G27+'8 PH'!G27+'9 VGIG'!G27+'10 Járób'!G27+'11 Szoci'!G27+'12 Ovi'!G27+'13 Művház'!G27+'14 Könyvt'!G27</f>
        <v>0</v>
      </c>
      <c r="G27" s="13">
        <f>+'7 Önk'!H27+'8 PH'!H27+'9 VGIG'!H27+'10 Járób'!H27+'11 Szoci'!H27+'12 Ovi'!H27+'13 Művház'!H27+'14 Könyvt'!H27</f>
        <v>0</v>
      </c>
      <c r="H27" s="431">
        <f t="shared" si="5"/>
        <v>0</v>
      </c>
    </row>
    <row r="28" spans="1:8" x14ac:dyDescent="0.25">
      <c r="A28" s="46" t="s">
        <v>76</v>
      </c>
      <c r="B28" s="40" t="s">
        <v>77</v>
      </c>
      <c r="C28" s="234"/>
      <c r="D28" s="234"/>
      <c r="E28" s="235"/>
      <c r="F28" s="13"/>
      <c r="G28" s="13"/>
      <c r="H28" s="431"/>
    </row>
    <row r="29" spans="1:8" x14ac:dyDescent="0.25">
      <c r="A29" s="46" t="s">
        <v>78</v>
      </c>
      <c r="B29" s="40" t="s">
        <v>79</v>
      </c>
      <c r="C29" s="234">
        <f>+'7 Önk'!D29+'8 PH'!D29+'9 VGIG'!D29+'10 Járób'!D29+'11 Szoci'!D29+'12 Ovi'!D29+'13 Művház'!D29+'14 Könyvt'!D29</f>
        <v>22790000</v>
      </c>
      <c r="D29" s="234">
        <f>+'7 Önk'!E29+'8 PH'!E29+'9 VGIG'!E29+'10 Járób'!E29+'11 Szoci'!E29+'12 Ovi'!E29+'13 Művház'!E29+'14 Könyvt'!E29</f>
        <v>33400000</v>
      </c>
      <c r="E29" s="235">
        <f>+C29+D29</f>
        <v>56190000</v>
      </c>
      <c r="F29" s="13">
        <f>+'7 Önk'!G29+'8 PH'!G29+'9 VGIG'!G29+'10 Járób'!G29+'11 Szoci'!G29+'12 Ovi'!G29+'13 Művház'!G29+'14 Könyvt'!G29</f>
        <v>22896299</v>
      </c>
      <c r="G29" s="13">
        <f>+'7 Önk'!H29+'8 PH'!H29+'9 VGIG'!H29+'10 Járób'!H29+'11 Szoci'!H29+'12 Ovi'!H29+'13 Művház'!H29+'14 Könyvt'!H29</f>
        <v>31441400</v>
      </c>
      <c r="H29" s="431">
        <f>+F29+G29</f>
        <v>54337699</v>
      </c>
    </row>
    <row r="30" spans="1:8" x14ac:dyDescent="0.25">
      <c r="A30" s="47" t="s">
        <v>80</v>
      </c>
      <c r="B30" s="40" t="s">
        <v>81</v>
      </c>
      <c r="C30" s="234">
        <f>+'6 Tart'!D14</f>
        <v>20000000</v>
      </c>
      <c r="D30" s="234">
        <f>+'6 Tart'!E14</f>
        <v>0</v>
      </c>
      <c r="E30" s="235">
        <f>+C30+D30</f>
        <v>20000000</v>
      </c>
      <c r="F30" s="13">
        <f>+'6 Tart'!G14</f>
        <v>9439100</v>
      </c>
      <c r="G30" s="13">
        <f>+'6 Tart'!H14</f>
        <v>0</v>
      </c>
      <c r="H30" s="431">
        <f>+F30+G30</f>
        <v>9439100</v>
      </c>
    </row>
    <row r="31" spans="1:8" x14ac:dyDescent="0.25">
      <c r="A31" s="47" t="s">
        <v>82</v>
      </c>
      <c r="B31" s="40" t="s">
        <v>81</v>
      </c>
      <c r="C31" s="234">
        <f>+'6 Tart'!D25</f>
        <v>4800000</v>
      </c>
      <c r="D31" s="234">
        <f>+'6 Tart'!E25</f>
        <v>0</v>
      </c>
      <c r="E31" s="235">
        <f>+C31+D31</f>
        <v>4800000</v>
      </c>
      <c r="F31" s="13">
        <f>+'6 Tart'!G25</f>
        <v>4059300</v>
      </c>
      <c r="G31" s="13">
        <f>+'6 Tart'!H25</f>
        <v>0</v>
      </c>
      <c r="H31" s="431">
        <f>+F31+G31</f>
        <v>4059300</v>
      </c>
    </row>
    <row r="32" spans="1:8" s="20" customFormat="1" x14ac:dyDescent="0.25">
      <c r="A32" s="45" t="s">
        <v>83</v>
      </c>
      <c r="B32" s="43" t="s">
        <v>84</v>
      </c>
      <c r="C32" s="235">
        <f t="shared" ref="C32:H32" si="6">SUM(C18:C31)</f>
        <v>58774500</v>
      </c>
      <c r="D32" s="235">
        <f t="shared" si="6"/>
        <v>42205456</v>
      </c>
      <c r="E32" s="235">
        <f t="shared" si="6"/>
        <v>100979956</v>
      </c>
      <c r="F32" s="14">
        <f t="shared" si="6"/>
        <v>47579199</v>
      </c>
      <c r="G32" s="14">
        <f t="shared" si="6"/>
        <v>42246856</v>
      </c>
      <c r="H32" s="431">
        <f t="shared" si="6"/>
        <v>89826055</v>
      </c>
    </row>
    <row r="33" spans="1:8" x14ac:dyDescent="0.25">
      <c r="A33" s="48" t="s">
        <v>85</v>
      </c>
      <c r="B33" s="49" t="s">
        <v>86</v>
      </c>
      <c r="C33" s="236">
        <f t="shared" ref="C33:H33" si="7">+C32+C17+C16+C10+C9</f>
        <v>2209112564</v>
      </c>
      <c r="D33" s="236">
        <f t="shared" si="7"/>
        <v>1303961148</v>
      </c>
      <c r="E33" s="236">
        <f t="shared" si="7"/>
        <v>3513073712</v>
      </c>
      <c r="F33" s="50">
        <f t="shared" si="7"/>
        <v>2264972920</v>
      </c>
      <c r="G33" s="50">
        <f t="shared" si="7"/>
        <v>1300448649</v>
      </c>
      <c r="H33" s="432">
        <f t="shared" si="7"/>
        <v>3565421569</v>
      </c>
    </row>
    <row r="34" spans="1:8" x14ac:dyDescent="0.25">
      <c r="A34" s="51" t="s">
        <v>87</v>
      </c>
      <c r="B34" s="40" t="s">
        <v>88</v>
      </c>
      <c r="C34" s="234">
        <f>+'7 Önk'!D34+'8 PH'!D34+'9 VGIG'!D34+'10 Járób'!D34+'11 Szoci'!D34+'12 Ovi'!D34+'13 Művház'!D34+'14 Könyvt'!D34+'5 Beruh kiad'!D11</f>
        <v>106000</v>
      </c>
      <c r="D34" s="234">
        <f>+'7 Önk'!E34+'8 PH'!E34+'9 VGIG'!E34+'10 Járób'!E34+'11 Szoci'!E34+'12 Ovi'!E34+'13 Művház'!E34+'14 Könyvt'!E34+'5 Beruh kiad'!E11</f>
        <v>0</v>
      </c>
      <c r="E34" s="235">
        <f t="shared" ref="E34:E40" si="8">+C34+D34</f>
        <v>106000</v>
      </c>
      <c r="F34" s="13">
        <f>+'7 Önk'!G34+'8 PH'!G34+'9 VGIG'!G34+'10 Járób'!G34+'11 Szoci'!G34+'12 Ovi'!G34+'13 Művház'!G34+'14 Könyvt'!G34+'5 Beruh kiad'!F11</f>
        <v>106000</v>
      </c>
      <c r="G34" s="13">
        <f>+'7 Önk'!H34+'8 PH'!H34+'9 VGIG'!H34+'10 Járób'!H34+'11 Szoci'!H34+'12 Ovi'!H34+'13 Művház'!H34+'14 Könyvt'!H34+'5 Beruh kiad'!G11</f>
        <v>0</v>
      </c>
      <c r="H34" s="431">
        <f t="shared" ref="H34:H40" si="9">+F34+G34</f>
        <v>106000</v>
      </c>
    </row>
    <row r="35" spans="1:8" x14ac:dyDescent="0.25">
      <c r="A35" s="51" t="s">
        <v>89</v>
      </c>
      <c r="B35" s="40" t="s">
        <v>90</v>
      </c>
      <c r="C35" s="234">
        <f>+'7 Önk'!D35+'8 PH'!D35+'9 VGIG'!D35+'10 Járób'!D35+'11 Szoci'!D35+'12 Ovi'!D35+'13 Művház'!D35+'14 Könyvt'!D35+'5 Beruh kiad'!D21</f>
        <v>276806357</v>
      </c>
      <c r="D35" s="234">
        <f>+'7 Önk'!E35+'8 PH'!E35+'9 VGIG'!E35+'10 Járób'!E35+'11 Szoci'!E35+'12 Ovi'!E35+'13 Művház'!E35+'14 Könyvt'!E35+'5 Beruh kiad'!E21</f>
        <v>48630284</v>
      </c>
      <c r="E35" s="235">
        <f t="shared" si="8"/>
        <v>325436641</v>
      </c>
      <c r="F35" s="13">
        <f>+'7 Önk'!G35+'8 PH'!G35+'9 VGIG'!G35+'10 Járób'!G35+'11 Szoci'!G35+'12 Ovi'!G35+'13 Művház'!G35+'14 Könyvt'!G35+'5 Beruh kiad'!F21</f>
        <v>277006357</v>
      </c>
      <c r="G35" s="13">
        <f>+'7 Önk'!H35+'8 PH'!H35+'9 VGIG'!H35+'10 Járób'!H35+'11 Szoci'!H35+'12 Ovi'!H35+'13 Művház'!H35+'14 Könyvt'!H35+'5 Beruh kiad'!G21</f>
        <v>48630284</v>
      </c>
      <c r="H35" s="431">
        <f t="shared" si="9"/>
        <v>325636641</v>
      </c>
    </row>
    <row r="36" spans="1:8" x14ac:dyDescent="0.25">
      <c r="A36" s="51" t="s">
        <v>91</v>
      </c>
      <c r="B36" s="40" t="s">
        <v>92</v>
      </c>
      <c r="C36" s="234">
        <f>+'7 Önk'!D36+'8 PH'!D36+'9 VGIG'!D36+'10 Járób'!D36+'11 Szoci'!D36+'12 Ovi'!D36+'13 Művház'!D36+'14 Könyvt'!D36+'5 Beruh kiad'!D24</f>
        <v>1309842</v>
      </c>
      <c r="D36" s="234">
        <f>+'7 Önk'!E36+'8 PH'!E36+'9 VGIG'!E36+'10 Járób'!E36+'11 Szoci'!E36+'12 Ovi'!E36+'13 Művház'!E36+'14 Könyvt'!E36+'5 Beruh kiad'!E24</f>
        <v>951000</v>
      </c>
      <c r="E36" s="235">
        <f t="shared" si="8"/>
        <v>2260842</v>
      </c>
      <c r="F36" s="13">
        <f>+'7 Önk'!G36+'8 PH'!G36+'9 VGIG'!G36+'10 Járób'!G36+'11 Szoci'!G36+'12 Ovi'!G36+'13 Művház'!G36+'14 Könyvt'!G36+'5 Beruh kiad'!F24</f>
        <v>1109842</v>
      </c>
      <c r="G36" s="13">
        <f>+'7 Önk'!H36+'8 PH'!H36+'9 VGIG'!H36+'10 Járób'!H36+'11 Szoci'!H36+'12 Ovi'!H36+'13 Művház'!H36+'14 Könyvt'!H36+'5 Beruh kiad'!G24</f>
        <v>951000</v>
      </c>
      <c r="H36" s="431">
        <f t="shared" si="9"/>
        <v>2060842</v>
      </c>
    </row>
    <row r="37" spans="1:8" x14ac:dyDescent="0.25">
      <c r="A37" s="51" t="s">
        <v>93</v>
      </c>
      <c r="B37" s="40" t="s">
        <v>94</v>
      </c>
      <c r="C37" s="234">
        <f>+'7 Önk'!D37+'8 PH'!D37+'9 VGIG'!D37+'10 Járób'!D37+'11 Szoci'!D37+'12 Ovi'!D37+'13 Művház'!D37+'14 Könyvt'!D37+'5 Beruh kiad'!D37</f>
        <v>510145756</v>
      </c>
      <c r="D37" s="234">
        <f>+'7 Önk'!E37+'8 PH'!E37+'9 VGIG'!E37+'10 Járób'!E37+'11 Szoci'!E37+'12 Ovi'!E37+'13 Művház'!E37+'14 Könyvt'!E37+'5 Beruh kiad'!E37</f>
        <v>21188128</v>
      </c>
      <c r="E37" s="235">
        <f t="shared" si="8"/>
        <v>531333884</v>
      </c>
      <c r="F37" s="13">
        <f>+'7 Önk'!G37+'8 PH'!G37+'9 VGIG'!G37+'10 Járób'!G37+'11 Szoci'!G37+'12 Ovi'!G37+'13 Művház'!G37+'14 Könyvt'!G37+'5 Beruh kiad'!F37</f>
        <v>512912826</v>
      </c>
      <c r="G37" s="13">
        <f>+'7 Önk'!H37+'8 PH'!H37+'9 VGIG'!H37+'10 Járób'!H37+'11 Szoci'!H37+'12 Ovi'!H37+'13 Művház'!H37+'14 Könyvt'!H37+'5 Beruh kiad'!G37</f>
        <v>28728128</v>
      </c>
      <c r="H37" s="431">
        <f t="shared" si="9"/>
        <v>541640954</v>
      </c>
    </row>
    <row r="38" spans="1:8" x14ac:dyDescent="0.25">
      <c r="A38" s="52" t="s">
        <v>95</v>
      </c>
      <c r="B38" s="40" t="s">
        <v>96</v>
      </c>
      <c r="C38" s="234">
        <f>+'7 Önk'!D38+'8 PH'!D38+'9 VGIG'!D38+'10 Járób'!D38+'11 Szoci'!D38+'12 Ovi'!D38+'13 Művház'!D38+'14 Könyvt'!D38+'5 Beruh kiad'!D39</f>
        <v>0</v>
      </c>
      <c r="D38" s="234">
        <f>+'7 Önk'!E38+'8 PH'!E38+'9 VGIG'!E38+'10 Járób'!E38+'11 Szoci'!E38+'12 Ovi'!E38+'13 Művház'!E38+'14 Könyvt'!E38+'5 Beruh kiad'!E39</f>
        <v>0</v>
      </c>
      <c r="E38" s="235">
        <f t="shared" si="8"/>
        <v>0</v>
      </c>
      <c r="F38" s="13">
        <f>+'7 Önk'!G38+'8 PH'!G38+'9 VGIG'!G38+'10 Járób'!G38+'11 Szoci'!G38+'12 Ovi'!G38+'13 Művház'!G38+'14 Könyvt'!G38+'5 Beruh kiad'!F39</f>
        <v>0</v>
      </c>
      <c r="G38" s="13">
        <f>+'7 Önk'!H38+'8 PH'!H38+'9 VGIG'!H38+'10 Járób'!H38+'11 Szoci'!H38+'12 Ovi'!H38+'13 Művház'!H38+'14 Könyvt'!H38+'5 Beruh kiad'!G39</f>
        <v>0</v>
      </c>
      <c r="H38" s="431">
        <f t="shared" si="9"/>
        <v>0</v>
      </c>
    </row>
    <row r="39" spans="1:8" x14ac:dyDescent="0.25">
      <c r="A39" s="52" t="s">
        <v>97</v>
      </c>
      <c r="B39" s="40" t="s">
        <v>98</v>
      </c>
      <c r="C39" s="234">
        <f>+'7 Önk'!D39+'8 PH'!D39+'9 VGIG'!D39+'10 Járób'!D39+'11 Szoci'!D39+'12 Ovi'!D39+'13 Művház'!D39+'14 Könyvt'!D39+'5 Beruh kiad'!D41</f>
        <v>0</v>
      </c>
      <c r="D39" s="234">
        <f>+'7 Önk'!E39+'8 PH'!E39+'9 VGIG'!E39+'10 Járób'!E39+'11 Szoci'!E39+'12 Ovi'!E39+'13 Művház'!E39+'14 Könyvt'!E39+'5 Beruh kiad'!E41</f>
        <v>0</v>
      </c>
      <c r="E39" s="235">
        <f t="shared" si="8"/>
        <v>0</v>
      </c>
      <c r="F39" s="13">
        <f>+'7 Önk'!G39+'8 PH'!G39+'9 VGIG'!G39+'10 Járób'!G39+'11 Szoci'!G39+'12 Ovi'!G39+'13 Művház'!G39+'14 Könyvt'!G39+'5 Beruh kiad'!F41</f>
        <v>0</v>
      </c>
      <c r="G39" s="13">
        <f>+'7 Önk'!H39+'8 PH'!H39+'9 VGIG'!H39+'10 Járób'!H39+'11 Szoci'!H39+'12 Ovi'!H39+'13 Művház'!H39+'14 Könyvt'!H39+'5 Beruh kiad'!G41</f>
        <v>0</v>
      </c>
      <c r="H39" s="431">
        <f t="shared" si="9"/>
        <v>0</v>
      </c>
    </row>
    <row r="40" spans="1:8" x14ac:dyDescent="0.25">
      <c r="A40" s="52" t="s">
        <v>99</v>
      </c>
      <c r="B40" s="40" t="s">
        <v>100</v>
      </c>
      <c r="C40" s="234">
        <f>+'7 Önk'!D40+'8 PH'!D40+'9 VGIG'!D40+'10 Járób'!D40+'11 Szoci'!D40+'12 Ovi'!D40+'13 Művház'!D40+'14 Könyvt'!D40+'5 Beruh kiad'!D58</f>
        <v>193279016</v>
      </c>
      <c r="D40" s="234">
        <f>+'7 Önk'!E40+'8 PH'!E40+'9 VGIG'!E40+'10 Járób'!E40+'11 Szoci'!E40+'12 Ovi'!E40+'13 Művház'!E40+'14 Könyvt'!E40+'5 Beruh kiad'!E58</f>
        <v>5841500</v>
      </c>
      <c r="E40" s="235">
        <f t="shared" si="8"/>
        <v>199120516</v>
      </c>
      <c r="F40" s="13">
        <f>+'7 Önk'!G40+'8 PH'!G40+'9 VGIG'!G40+'10 Járób'!G40+'11 Szoci'!G40+'12 Ovi'!G40+'13 Művház'!G40+'14 Könyvt'!G40+'5 Beruh kiad'!F58</f>
        <v>193956846</v>
      </c>
      <c r="G40" s="13">
        <f>+'7 Önk'!H40+'8 PH'!H40+'9 VGIG'!H40+'10 Járób'!H40+'11 Szoci'!H40+'12 Ovi'!H40+'13 Művház'!H40+'14 Könyvt'!H40+'5 Beruh kiad'!G58</f>
        <v>6982400</v>
      </c>
      <c r="H40" s="431">
        <f t="shared" si="9"/>
        <v>200939246</v>
      </c>
    </row>
    <row r="41" spans="1:8" s="20" customFormat="1" x14ac:dyDescent="0.25">
      <c r="A41" s="53" t="s">
        <v>101</v>
      </c>
      <c r="B41" s="43" t="s">
        <v>102</v>
      </c>
      <c r="C41" s="235">
        <f t="shared" ref="C41:H41" si="10">SUM(C34:C40)</f>
        <v>981646971</v>
      </c>
      <c r="D41" s="235">
        <f t="shared" si="10"/>
        <v>76610912</v>
      </c>
      <c r="E41" s="235">
        <f t="shared" si="10"/>
        <v>1058257883</v>
      </c>
      <c r="F41" s="14">
        <f t="shared" si="10"/>
        <v>985091871</v>
      </c>
      <c r="G41" s="14">
        <f t="shared" si="10"/>
        <v>85291812</v>
      </c>
      <c r="H41" s="431">
        <f t="shared" si="10"/>
        <v>1070383683</v>
      </c>
    </row>
    <row r="42" spans="1:8" x14ac:dyDescent="0.25">
      <c r="A42" s="54" t="s">
        <v>103</v>
      </c>
      <c r="B42" s="40" t="s">
        <v>104</v>
      </c>
      <c r="C42" s="234">
        <f>+'7 Önk'!D42+'8 PH'!D42+'9 VGIG'!D42+'10 Járób'!D42+'11 Szoci'!D42+'12 Ovi'!D42+'13 Művház'!D42+'14 Könyvt'!D42+'5 Beruh kiad'!D78</f>
        <v>789883254</v>
      </c>
      <c r="D42" s="234">
        <f>+'7 Önk'!E42+'8 PH'!E42+'9 VGIG'!E42+'10 Járób'!E42+'11 Szoci'!E42+'12 Ovi'!E42+'13 Művház'!E42+'14 Könyvt'!E42+'5 Beruh kiad'!E78</f>
        <v>332161353</v>
      </c>
      <c r="E42" s="235">
        <f>+C42+D42</f>
        <v>1122044607</v>
      </c>
      <c r="F42" s="234">
        <f>+'7 Önk'!G42+'8 PH'!G42+'9 VGIG'!G42+'10 Járób'!G42+'11 Szoci'!G42+'12 Ovi'!G42+'13 Művház'!G42+'14 Könyvt'!G42+'5 Beruh kiad'!F78</f>
        <v>788519947</v>
      </c>
      <c r="G42" s="234">
        <f>+'7 Önk'!H42+'8 PH'!H42+'9 VGIG'!H42+'10 Járób'!H42+'11 Szoci'!H42+'12 Ovi'!H42+'13 Művház'!H42+'14 Könyvt'!H42+'5 Beruh kiad'!G78</f>
        <v>330411353</v>
      </c>
      <c r="H42" s="431">
        <f>+F42+G42</f>
        <v>1118931300</v>
      </c>
    </row>
    <row r="43" spans="1:8" x14ac:dyDescent="0.25">
      <c r="A43" s="54" t="s">
        <v>105</v>
      </c>
      <c r="B43" s="40" t="s">
        <v>106</v>
      </c>
      <c r="C43" s="234">
        <f>+'7 Önk'!D43+'8 PH'!D43+'9 VGIG'!D43+'10 Járób'!D43+'11 Szoci'!D43+'12 Ovi'!D43+'13 Művház'!D43+'14 Könyvt'!D43+'5 Beruh kiad'!D80</f>
        <v>0</v>
      </c>
      <c r="D43" s="234">
        <f>+'7 Önk'!E43+'8 PH'!E43+'9 VGIG'!E43+'10 Járób'!E43+'11 Szoci'!E43+'12 Ovi'!E43+'13 Művház'!E43+'14 Könyvt'!E43+'5 Beruh kiad'!E80</f>
        <v>0</v>
      </c>
      <c r="E43" s="235">
        <f>+C43+D43</f>
        <v>0</v>
      </c>
      <c r="F43" s="234">
        <f>+'7 Önk'!G43+'8 PH'!G43+'9 VGIG'!G43+'10 Járób'!G43+'11 Szoci'!G43+'12 Ovi'!G43+'13 Művház'!G43+'14 Könyvt'!G43+'5 Beruh kiad'!G80</f>
        <v>0</v>
      </c>
      <c r="G43" s="234">
        <f>+'7 Önk'!H43+'8 PH'!H43+'9 VGIG'!H43+'10 Járób'!H43+'11 Szoci'!H43+'12 Ovi'!H43+'13 Művház'!H43+'14 Könyvt'!H43</f>
        <v>0</v>
      </c>
      <c r="H43" s="431">
        <f>+F43+G43</f>
        <v>0</v>
      </c>
    </row>
    <row r="44" spans="1:8" x14ac:dyDescent="0.25">
      <c r="A44" s="54" t="s">
        <v>107</v>
      </c>
      <c r="B44" s="40" t="s">
        <v>108</v>
      </c>
      <c r="C44" s="234">
        <f>+'7 Önk'!D44+'8 PH'!D44+'9 VGIG'!D44+'10 Járób'!D44+'11 Szoci'!D44+'12 Ovi'!D44+'13 Művház'!D44+'14 Könyvt'!D44+'5 Beruh kiad'!D82</f>
        <v>0</v>
      </c>
      <c r="D44" s="234">
        <f>+'7 Önk'!E44+'8 PH'!E44+'9 VGIG'!E44+'10 Járób'!E44+'11 Szoci'!E44+'12 Ovi'!E44+'13 Művház'!E44+'14 Könyvt'!E44+'5 Beruh kiad'!E82</f>
        <v>0</v>
      </c>
      <c r="E44" s="235">
        <f>+C44+D44</f>
        <v>0</v>
      </c>
      <c r="F44" s="234">
        <f>+'7 Önk'!G44+'8 PH'!G44+'9 VGIG'!G44+'10 Járób'!G44+'11 Szoci'!G44+'12 Ovi'!G44+'13 Művház'!G44+'14 Könyvt'!G44+'5 Beruh kiad'!G82</f>
        <v>0</v>
      </c>
      <c r="G44" s="234">
        <f>+'7 Önk'!H44+'8 PH'!H44+'9 VGIG'!H44+'10 Járób'!H44+'11 Szoci'!H44+'12 Ovi'!H44+'13 Művház'!H44+'14 Könyvt'!H44</f>
        <v>0</v>
      </c>
      <c r="H44" s="431">
        <f>+F44+G44</f>
        <v>0</v>
      </c>
    </row>
    <row r="45" spans="1:8" x14ac:dyDescent="0.25">
      <c r="A45" s="54" t="s">
        <v>109</v>
      </c>
      <c r="B45" s="40" t="s">
        <v>110</v>
      </c>
      <c r="C45" s="234">
        <f>+'7 Önk'!D45+'8 PH'!D45+'9 VGIG'!D45+'10 Járób'!D45+'11 Szoci'!D45+'12 Ovi'!D45+'13 Művház'!D45+'14 Könyvt'!D45+'5 Beruh kiad'!D100</f>
        <v>216661394</v>
      </c>
      <c r="D45" s="234">
        <f>+'7 Önk'!E45+'8 PH'!E45+'9 VGIG'!E45+'10 Járób'!E45+'11 Szoci'!E45+'12 Ovi'!E45+'13 Művház'!E45+'14 Könyvt'!E45+'5 Beruh kiad'!E100</f>
        <v>89684138</v>
      </c>
      <c r="E45" s="235">
        <f>+C45+D45</f>
        <v>306345532</v>
      </c>
      <c r="F45" s="234">
        <f>+'7 Önk'!G45+'8 PH'!G45+'9 VGIG'!G45+'10 Járób'!G45+'11 Szoci'!G45+'12 Ovi'!G45+'13 Művház'!G45+'14 Könyvt'!G45+'5 Beruh kiad'!F100</f>
        <v>216246944</v>
      </c>
      <c r="G45" s="234">
        <f>+'7 Önk'!H45+'8 PH'!H45+'9 VGIG'!H45+'10 Járób'!H45+'11 Szoci'!H45+'12 Ovi'!H45+'13 Művház'!H45+'14 Könyvt'!H45+'5 Beruh kiad'!G100</f>
        <v>89684138</v>
      </c>
      <c r="H45" s="431">
        <f>+F45+G45</f>
        <v>305931082</v>
      </c>
    </row>
    <row r="46" spans="1:8" s="20" customFormat="1" x14ac:dyDescent="0.25">
      <c r="A46" s="44" t="s">
        <v>111</v>
      </c>
      <c r="B46" s="43" t="s">
        <v>112</v>
      </c>
      <c r="C46" s="235">
        <f t="shared" ref="C46:H46" si="11">SUM(C42:C45)</f>
        <v>1006544648</v>
      </c>
      <c r="D46" s="235">
        <f t="shared" si="11"/>
        <v>421845491</v>
      </c>
      <c r="E46" s="235">
        <f t="shared" si="11"/>
        <v>1428390139</v>
      </c>
      <c r="F46" s="14">
        <f t="shared" si="11"/>
        <v>1004766891</v>
      </c>
      <c r="G46" s="14">
        <f t="shared" si="11"/>
        <v>420095491</v>
      </c>
      <c r="H46" s="431">
        <f t="shared" si="11"/>
        <v>1424862382</v>
      </c>
    </row>
    <row r="47" spans="1:8" x14ac:dyDescent="0.25">
      <c r="A47" s="54" t="s">
        <v>113</v>
      </c>
      <c r="B47" s="40" t="s">
        <v>114</v>
      </c>
      <c r="C47" s="234">
        <f>+'7 Önk'!D47+'8 PH'!D47+'9 VGIG'!D47+'10 Járób'!D47+'11 Szoci'!D47+'12 Ovi'!D47+'13 Művház'!D47+'14 Könyvt'!D47</f>
        <v>0</v>
      </c>
      <c r="D47" s="234">
        <f>+'7 Önk'!E47+'8 PH'!E47+'9 VGIG'!E47+'10 Járób'!E47+'11 Szoci'!E47+'12 Ovi'!E47+'13 Művház'!E47+'14 Könyvt'!E47</f>
        <v>0</v>
      </c>
      <c r="E47" s="235">
        <f t="shared" ref="E47:E53" si="12">+C47+D47</f>
        <v>0</v>
      </c>
      <c r="F47" s="13">
        <f>+'7 Önk'!G47+'8 PH'!G47+'9 VGIG'!G47+'10 Járób'!G47+'11 Szoci'!G47+'12 Ovi'!G47+'13 Művház'!G47+'14 Könyvt'!G47</f>
        <v>0</v>
      </c>
      <c r="G47" s="13">
        <f>+'7 Önk'!H47+'8 PH'!H47+'9 VGIG'!H47+'10 Járób'!H47+'11 Szoci'!H47+'12 Ovi'!H47+'13 Művház'!H47+'14 Könyvt'!H47</f>
        <v>0</v>
      </c>
      <c r="H47" s="431">
        <f t="shared" ref="H47:H53" si="13">+F47+G47</f>
        <v>0</v>
      </c>
    </row>
    <row r="48" spans="1:8" x14ac:dyDescent="0.25">
      <c r="A48" s="54" t="s">
        <v>115</v>
      </c>
      <c r="B48" s="40" t="s">
        <v>116</v>
      </c>
      <c r="C48" s="234">
        <f>+'7 Önk'!D48+'8 PH'!D48+'9 VGIG'!D48+'10 Járób'!D48+'11 Szoci'!D48+'12 Ovi'!D48+'13 Művház'!D48+'14 Könyvt'!D48</f>
        <v>0</v>
      </c>
      <c r="D48" s="234">
        <f>+'7 Önk'!E48+'8 PH'!E48+'9 VGIG'!E48+'10 Járób'!E48+'11 Szoci'!E48+'12 Ovi'!E48+'13 Művház'!E48+'14 Könyvt'!E48</f>
        <v>0</v>
      </c>
      <c r="E48" s="235">
        <f t="shared" si="12"/>
        <v>0</v>
      </c>
      <c r="F48" s="13">
        <f>+'7 Önk'!G48+'8 PH'!G48+'9 VGIG'!G48+'10 Járób'!G48+'11 Szoci'!G48+'12 Ovi'!G48+'13 Művház'!G48+'14 Könyvt'!G48</f>
        <v>0</v>
      </c>
      <c r="G48" s="13">
        <f>+'7 Önk'!H48+'8 PH'!H48+'9 VGIG'!H48+'10 Járób'!H48+'11 Szoci'!H48+'12 Ovi'!H48+'13 Művház'!H48+'14 Könyvt'!H48</f>
        <v>0</v>
      </c>
      <c r="H48" s="431">
        <f t="shared" si="13"/>
        <v>0</v>
      </c>
    </row>
    <row r="49" spans="1:8" ht="31.5" x14ac:dyDescent="0.25">
      <c r="A49" s="54" t="s">
        <v>117</v>
      </c>
      <c r="B49" s="40" t="s">
        <v>118</v>
      </c>
      <c r="C49" s="234">
        <f>+'7 Önk'!D49+'8 PH'!D49+'9 VGIG'!D49+'10 Járób'!D49+'11 Szoci'!D49+'12 Ovi'!D49+'13 Művház'!D49+'14 Könyvt'!D49</f>
        <v>0</v>
      </c>
      <c r="D49" s="234">
        <f>+'7 Önk'!E49+'8 PH'!E49+'9 VGIG'!E49+'10 Járób'!E49+'11 Szoci'!E49+'12 Ovi'!E49+'13 Művház'!E49+'14 Könyvt'!E49</f>
        <v>0</v>
      </c>
      <c r="E49" s="235">
        <f t="shared" si="12"/>
        <v>0</v>
      </c>
      <c r="F49" s="13">
        <f>+'7 Önk'!G49+'8 PH'!G49+'9 VGIG'!G49+'10 Járób'!G49+'11 Szoci'!G49+'12 Ovi'!G49+'13 Művház'!G49+'14 Könyvt'!G49</f>
        <v>0</v>
      </c>
      <c r="G49" s="13">
        <f>+'7 Önk'!H49+'8 PH'!H49+'9 VGIG'!H49+'10 Járób'!H49+'11 Szoci'!H49+'12 Ovi'!H49+'13 Művház'!H49+'14 Könyvt'!H49</f>
        <v>0</v>
      </c>
      <c r="H49" s="431">
        <f t="shared" si="13"/>
        <v>0</v>
      </c>
    </row>
    <row r="50" spans="1:8" x14ac:dyDescent="0.25">
      <c r="A50" s="54" t="s">
        <v>119</v>
      </c>
      <c r="B50" s="40" t="s">
        <v>120</v>
      </c>
      <c r="C50" s="234">
        <f>+'7 Önk'!D50+'8 PH'!D50+'9 VGIG'!D50+'10 Járób'!D50+'11 Szoci'!D50+'12 Ovi'!D50+'13 Művház'!D50+'14 Könyvt'!D50+'5 Beruh kiad'!D105</f>
        <v>0</v>
      </c>
      <c r="D50" s="234">
        <f>+'7 Önk'!E50+'8 PH'!E50+'9 VGIG'!E50+'10 Járób'!E50+'11 Szoci'!E50+'12 Ovi'!E50+'13 Művház'!E50+'14 Könyvt'!E50+'5 Beruh kiad'!E105</f>
        <v>0</v>
      </c>
      <c r="E50" s="235">
        <f t="shared" si="12"/>
        <v>0</v>
      </c>
      <c r="F50" s="234">
        <f>+'7 Önk'!G50+'8 PH'!G50+'9 VGIG'!G50+'10 Járób'!G50+'11 Szoci'!G50+'12 Ovi'!G50+'13 Művház'!G50+'14 Könyvt'!G50+'5 Beruh kiad'!F105</f>
        <v>0</v>
      </c>
      <c r="G50" s="234">
        <f>+'7 Önk'!H50+'8 PH'!H50+'9 VGIG'!H50+'10 Járób'!H50+'11 Szoci'!H50+'12 Ovi'!H50+'13 Művház'!H50+'14 Könyvt'!H50+'5 Beruh kiad'!G105</f>
        <v>0</v>
      </c>
      <c r="H50" s="431">
        <f t="shared" si="13"/>
        <v>0</v>
      </c>
    </row>
    <row r="51" spans="1:8" x14ac:dyDescent="0.25">
      <c r="A51" s="54" t="s">
        <v>121</v>
      </c>
      <c r="B51" s="40" t="s">
        <v>122</v>
      </c>
      <c r="C51" s="234">
        <f>+'7 Önk'!D51+'8 PH'!D51+'9 VGIG'!D51+'10 Járób'!D51+'11 Szoci'!D51+'12 Ovi'!D51+'13 Művház'!D51+'14 Könyvt'!D51</f>
        <v>13101000</v>
      </c>
      <c r="D51" s="234">
        <f>+'7 Önk'!E51+'8 PH'!E51+'9 VGIG'!E51+'10 Járób'!E51+'11 Szoci'!E51+'12 Ovi'!E51+'13 Művház'!E51+'14 Könyvt'!E51</f>
        <v>0</v>
      </c>
      <c r="E51" s="235">
        <f t="shared" si="12"/>
        <v>13101000</v>
      </c>
      <c r="F51" s="234">
        <f>+'7 Önk'!G51+'8 PH'!G51+'9 VGIG'!G51+'10 Járób'!G51+'11 Szoci'!G51+'12 Ovi'!G51+'13 Művház'!G51+'14 Könyvt'!G51</f>
        <v>13101000</v>
      </c>
      <c r="G51" s="234">
        <f>+'7 Önk'!H51+'8 PH'!H51+'9 VGIG'!H51+'10 Járób'!H51+'11 Szoci'!H51+'12 Ovi'!H51+'13 Művház'!H51+'14 Könyvt'!H51</f>
        <v>0</v>
      </c>
      <c r="H51" s="431">
        <f t="shared" si="13"/>
        <v>13101000</v>
      </c>
    </row>
    <row r="52" spans="1:8" x14ac:dyDescent="0.25">
      <c r="A52" s="54" t="s">
        <v>123</v>
      </c>
      <c r="B52" s="40" t="s">
        <v>124</v>
      </c>
      <c r="C52" s="234">
        <f>+'7 Önk'!D52+'8 PH'!D52+'9 VGIG'!D52+'10 Járób'!D52+'11 Szoci'!D52+'12 Ovi'!D52+'13 Művház'!D52+'14 Könyvt'!D52</f>
        <v>0</v>
      </c>
      <c r="D52" s="234">
        <f>+'7 Önk'!E52+'8 PH'!E52+'9 VGIG'!E52+'10 Járób'!E52+'11 Szoci'!E52+'12 Ovi'!E52+'13 Művház'!E52+'14 Könyvt'!E52</f>
        <v>0</v>
      </c>
      <c r="E52" s="235">
        <f t="shared" si="12"/>
        <v>0</v>
      </c>
      <c r="F52" s="13">
        <f>+'7 Önk'!G52+'8 PH'!G52+'9 VGIG'!G52+'10 Járób'!G52+'11 Szoci'!G52+'12 Ovi'!G52+'13 Művház'!G52+'14 Könyvt'!G52</f>
        <v>0</v>
      </c>
      <c r="G52" s="13">
        <f>+'7 Önk'!H52+'8 PH'!H52+'9 VGIG'!H52+'10 Járób'!H52+'11 Szoci'!H52+'12 Ovi'!H52+'13 Művház'!H52+'14 Könyvt'!H52</f>
        <v>0</v>
      </c>
      <c r="H52" s="431">
        <f t="shared" si="13"/>
        <v>0</v>
      </c>
    </row>
    <row r="53" spans="1:8" x14ac:dyDescent="0.25">
      <c r="A53" s="54" t="s">
        <v>125</v>
      </c>
      <c r="B53" s="40" t="s">
        <v>126</v>
      </c>
      <c r="C53" s="234">
        <f>+'7 Önk'!D53+'8 PH'!D53+'9 VGIG'!D53+'10 Járób'!D53+'11 Szoci'!D53+'12 Ovi'!D53+'13 Művház'!D53+'14 Könyvt'!D53</f>
        <v>0</v>
      </c>
      <c r="D53" s="234">
        <f>+'7 Önk'!E53+'8 PH'!E53+'9 VGIG'!E53+'10 Járób'!E53+'11 Szoci'!E53+'12 Ovi'!E53+'13 Művház'!E53+'14 Könyvt'!E53</f>
        <v>0</v>
      </c>
      <c r="E53" s="235">
        <f t="shared" si="12"/>
        <v>0</v>
      </c>
      <c r="F53" s="13">
        <f>+'7 Önk'!G53+'8 PH'!G53+'9 VGIG'!G53+'10 Járób'!G53+'11 Szoci'!G53+'12 Ovi'!G53+'13 Művház'!G53+'14 Könyvt'!G53</f>
        <v>0</v>
      </c>
      <c r="G53" s="13">
        <f>+'7 Önk'!H53+'8 PH'!H53+'9 VGIG'!H53+'10 Járób'!H53+'11 Szoci'!H53+'12 Ovi'!H53+'13 Művház'!H53+'14 Könyvt'!H53</f>
        <v>0</v>
      </c>
      <c r="H53" s="431">
        <f t="shared" si="13"/>
        <v>0</v>
      </c>
    </row>
    <row r="54" spans="1:8" hidden="1" x14ac:dyDescent="0.25">
      <c r="A54" s="54" t="s">
        <v>127</v>
      </c>
      <c r="B54" s="40" t="s">
        <v>128</v>
      </c>
      <c r="C54" s="234"/>
      <c r="D54" s="234"/>
      <c r="E54" s="235"/>
      <c r="F54" s="13"/>
      <c r="G54" s="13"/>
      <c r="H54" s="431"/>
    </row>
    <row r="55" spans="1:8" x14ac:dyDescent="0.25">
      <c r="A55" s="54" t="s">
        <v>129</v>
      </c>
      <c r="B55" s="40" t="s">
        <v>130</v>
      </c>
      <c r="C55" s="234">
        <f>+'7 Önk'!D55+'8 PH'!D55+'9 VGIG'!D55+'10 Járób'!D55+'11 Szoci'!D55+'12 Ovi'!D55+'13 Művház'!D55+'14 Könyvt'!D55</f>
        <v>0</v>
      </c>
      <c r="D55" s="234">
        <f>+'7 Önk'!E55+'8 PH'!E55+'9 VGIG'!E55+'10 Járób'!E55+'11 Szoci'!E55+'12 Ovi'!E55+'13 Művház'!E55+'14 Könyvt'!E55</f>
        <v>0</v>
      </c>
      <c r="E55" s="235">
        <f>+C55+D55</f>
        <v>0</v>
      </c>
      <c r="F55" s="13">
        <f>+'7 Önk'!G55+'8 PH'!G55+'9 VGIG'!G55+'10 Járób'!G55+'11 Szoci'!G55+'12 Ovi'!G55+'13 Művház'!G55+'14 Könyvt'!G55</f>
        <v>0</v>
      </c>
      <c r="G55" s="13">
        <f>+'7 Önk'!H55+'8 PH'!H55+'9 VGIG'!H55+'10 Járób'!H55+'11 Szoci'!H55+'12 Ovi'!H55+'13 Művház'!H55+'14 Könyvt'!H55</f>
        <v>0</v>
      </c>
      <c r="H55" s="431">
        <f>+F55+G55</f>
        <v>0</v>
      </c>
    </row>
    <row r="56" spans="1:8" s="20" customFormat="1" x14ac:dyDescent="0.25">
      <c r="A56" s="45" t="s">
        <v>131</v>
      </c>
      <c r="B56" s="43" t="s">
        <v>132</v>
      </c>
      <c r="C56" s="235">
        <f t="shared" ref="C56:H56" si="14">SUM(C47:C55)</f>
        <v>13101000</v>
      </c>
      <c r="D56" s="235">
        <f t="shared" si="14"/>
        <v>0</v>
      </c>
      <c r="E56" s="235">
        <f t="shared" si="14"/>
        <v>13101000</v>
      </c>
      <c r="F56" s="14">
        <f t="shared" si="14"/>
        <v>13101000</v>
      </c>
      <c r="G56" s="14">
        <f t="shared" si="14"/>
        <v>0</v>
      </c>
      <c r="H56" s="431">
        <f t="shared" si="14"/>
        <v>13101000</v>
      </c>
    </row>
    <row r="57" spans="1:8" x14ac:dyDescent="0.25">
      <c r="A57" s="48" t="s">
        <v>133</v>
      </c>
      <c r="B57" s="49" t="s">
        <v>134</v>
      </c>
      <c r="C57" s="236">
        <f t="shared" ref="C57:H57" si="15">+C56+C46+C41</f>
        <v>2001292619</v>
      </c>
      <c r="D57" s="236">
        <f t="shared" si="15"/>
        <v>498456403</v>
      </c>
      <c r="E57" s="236">
        <f t="shared" si="15"/>
        <v>2499749022</v>
      </c>
      <c r="F57" s="50">
        <f t="shared" si="15"/>
        <v>2002959762</v>
      </c>
      <c r="G57" s="50">
        <f t="shared" si="15"/>
        <v>505387303</v>
      </c>
      <c r="H57" s="432">
        <f t="shared" si="15"/>
        <v>2508347065</v>
      </c>
    </row>
    <row r="58" spans="1:8" x14ac:dyDescent="0.25">
      <c r="A58" s="55" t="s">
        <v>135</v>
      </c>
      <c r="B58" s="56" t="s">
        <v>136</v>
      </c>
      <c r="C58" s="237">
        <f t="shared" ref="C58:H58" si="16">+C56+C46+C41+C32+C17+C16+C10+C9</f>
        <v>4210405183</v>
      </c>
      <c r="D58" s="237">
        <f t="shared" si="16"/>
        <v>1802417551</v>
      </c>
      <c r="E58" s="237">
        <f t="shared" si="16"/>
        <v>6012822734</v>
      </c>
      <c r="F58" s="57">
        <f t="shared" si="16"/>
        <v>4267932682</v>
      </c>
      <c r="G58" s="57">
        <f t="shared" si="16"/>
        <v>1805835952</v>
      </c>
      <c r="H58" s="433">
        <f t="shared" si="16"/>
        <v>6073768634</v>
      </c>
    </row>
    <row r="59" spans="1:8" x14ac:dyDescent="0.25">
      <c r="A59" s="54" t="s">
        <v>137</v>
      </c>
      <c r="B59" s="41" t="s">
        <v>138</v>
      </c>
      <c r="C59" s="234">
        <f>+'17 hitelek'!D13</f>
        <v>0</v>
      </c>
      <c r="D59" s="234">
        <f>+'17 hitelek'!E13</f>
        <v>0</v>
      </c>
      <c r="E59" s="235">
        <f>+C59+D59</f>
        <v>0</v>
      </c>
      <c r="F59" s="13">
        <f>+'17 hitelek'!F13</f>
        <v>0</v>
      </c>
      <c r="G59" s="13">
        <f>+'17 hitelek'!G13</f>
        <v>0</v>
      </c>
      <c r="H59" s="431">
        <f>+F59+G59</f>
        <v>0</v>
      </c>
    </row>
    <row r="60" spans="1:8" x14ac:dyDescent="0.25">
      <c r="A60" s="54" t="s">
        <v>139</v>
      </c>
      <c r="B60" s="41" t="s">
        <v>140</v>
      </c>
      <c r="C60" s="234">
        <f>+'17 hitelek'!D16</f>
        <v>0</v>
      </c>
      <c r="D60" s="234">
        <f>+'17 hitelek'!E16</f>
        <v>0</v>
      </c>
      <c r="E60" s="235">
        <f>+C60+D60</f>
        <v>0</v>
      </c>
      <c r="F60" s="13">
        <f>+'17 hitelek'!F16</f>
        <v>0</v>
      </c>
      <c r="G60" s="13">
        <f>+'17 hitelek'!G16</f>
        <v>0</v>
      </c>
      <c r="H60" s="431">
        <f>+F60+G60</f>
        <v>0</v>
      </c>
    </row>
    <row r="61" spans="1:8" x14ac:dyDescent="0.25">
      <c r="A61" s="54" t="s">
        <v>141</v>
      </c>
      <c r="B61" s="41" t="s">
        <v>142</v>
      </c>
      <c r="C61" s="234">
        <f>+'17 hitelek'!D19</f>
        <v>88500000</v>
      </c>
      <c r="D61" s="234">
        <f>+'17 hitelek'!E19</f>
        <v>0</v>
      </c>
      <c r="E61" s="235">
        <f>+C61+D61</f>
        <v>88500000</v>
      </c>
      <c r="F61" s="13">
        <f>+'17 hitelek'!F19</f>
        <v>88500000</v>
      </c>
      <c r="G61" s="13">
        <f>+'17 hitelek'!G19</f>
        <v>0</v>
      </c>
      <c r="H61" s="431">
        <f>+F61+G61</f>
        <v>88500000</v>
      </c>
    </row>
    <row r="62" spans="1:8" x14ac:dyDescent="0.25">
      <c r="A62" s="45" t="s">
        <v>143</v>
      </c>
      <c r="B62" s="44" t="s">
        <v>144</v>
      </c>
      <c r="C62" s="238">
        <f t="shared" ref="C62:H62" si="17">SUM(C59:C61)</f>
        <v>88500000</v>
      </c>
      <c r="D62" s="238">
        <f t="shared" si="17"/>
        <v>0</v>
      </c>
      <c r="E62" s="238">
        <f t="shared" si="17"/>
        <v>88500000</v>
      </c>
      <c r="F62" s="58">
        <f t="shared" si="17"/>
        <v>88500000</v>
      </c>
      <c r="G62" s="58">
        <f t="shared" si="17"/>
        <v>0</v>
      </c>
      <c r="H62" s="467">
        <f t="shared" si="17"/>
        <v>88500000</v>
      </c>
    </row>
    <row r="63" spans="1:8" x14ac:dyDescent="0.25">
      <c r="A63" s="59" t="s">
        <v>145</v>
      </c>
      <c r="B63" s="41" t="s">
        <v>146</v>
      </c>
      <c r="C63" s="239"/>
      <c r="D63" s="239"/>
      <c r="E63" s="235">
        <f t="shared" ref="E63:E69" si="18">+C63+D63</f>
        <v>0</v>
      </c>
      <c r="F63" s="60"/>
      <c r="G63" s="60"/>
      <c r="H63" s="431">
        <f t="shared" ref="H63:H69" si="19">+F63+G63</f>
        <v>0</v>
      </c>
    </row>
    <row r="64" spans="1:8" x14ac:dyDescent="0.25">
      <c r="A64" s="59" t="s">
        <v>147</v>
      </c>
      <c r="B64" s="41" t="s">
        <v>148</v>
      </c>
      <c r="C64" s="234"/>
      <c r="D64" s="234"/>
      <c r="E64" s="235">
        <f t="shared" si="18"/>
        <v>0</v>
      </c>
      <c r="F64" s="13"/>
      <c r="G64" s="13"/>
      <c r="H64" s="431">
        <f t="shared" si="19"/>
        <v>0</v>
      </c>
    </row>
    <row r="65" spans="1:8" x14ac:dyDescent="0.25">
      <c r="A65" s="59" t="s">
        <v>149</v>
      </c>
      <c r="B65" s="41" t="s">
        <v>150</v>
      </c>
      <c r="C65" s="234">
        <f>+'17 hitelek'!D35</f>
        <v>40849120</v>
      </c>
      <c r="D65" s="234"/>
      <c r="E65" s="235">
        <f t="shared" si="18"/>
        <v>40849120</v>
      </c>
      <c r="F65" s="13">
        <f>+'17 hitelek'!F35</f>
        <v>40849120</v>
      </c>
      <c r="G65" s="13"/>
      <c r="H65" s="431">
        <f t="shared" si="19"/>
        <v>40849120</v>
      </c>
    </row>
    <row r="66" spans="1:8" x14ac:dyDescent="0.25">
      <c r="A66" s="59" t="s">
        <v>151</v>
      </c>
      <c r="B66" s="41" t="s">
        <v>152</v>
      </c>
      <c r="C66" s="234"/>
      <c r="D66" s="234"/>
      <c r="E66" s="235">
        <f t="shared" si="18"/>
        <v>0</v>
      </c>
      <c r="F66" s="13"/>
      <c r="G66" s="13"/>
      <c r="H66" s="431">
        <f t="shared" si="19"/>
        <v>0</v>
      </c>
    </row>
    <row r="67" spans="1:8" hidden="1" x14ac:dyDescent="0.25">
      <c r="A67" s="59" t="s">
        <v>153</v>
      </c>
      <c r="B67" s="41" t="s">
        <v>154</v>
      </c>
      <c r="C67" s="234"/>
      <c r="D67" s="234"/>
      <c r="E67" s="235">
        <f t="shared" si="18"/>
        <v>0</v>
      </c>
      <c r="F67" s="13"/>
      <c r="G67" s="13"/>
      <c r="H67" s="431">
        <f t="shared" si="19"/>
        <v>0</v>
      </c>
    </row>
    <row r="68" spans="1:8" hidden="1" x14ac:dyDescent="0.25">
      <c r="A68" s="59" t="s">
        <v>155</v>
      </c>
      <c r="B68" s="41" t="s">
        <v>156</v>
      </c>
      <c r="C68" s="234"/>
      <c r="D68" s="234"/>
      <c r="E68" s="235">
        <f t="shared" si="18"/>
        <v>0</v>
      </c>
      <c r="F68" s="13"/>
      <c r="G68" s="13"/>
      <c r="H68" s="431">
        <f t="shared" si="19"/>
        <v>0</v>
      </c>
    </row>
    <row r="69" spans="1:8" hidden="1" x14ac:dyDescent="0.25">
      <c r="A69" s="59" t="s">
        <v>157</v>
      </c>
      <c r="B69" s="41" t="s">
        <v>158</v>
      </c>
      <c r="C69" s="234"/>
      <c r="D69" s="234"/>
      <c r="E69" s="235">
        <f t="shared" si="18"/>
        <v>0</v>
      </c>
      <c r="F69" s="13"/>
      <c r="G69" s="13"/>
      <c r="H69" s="431">
        <f t="shared" si="19"/>
        <v>0</v>
      </c>
    </row>
    <row r="70" spans="1:8" hidden="1" x14ac:dyDescent="0.25">
      <c r="A70" s="59" t="s">
        <v>159</v>
      </c>
      <c r="B70" s="41" t="s">
        <v>160</v>
      </c>
      <c r="C70" s="234"/>
      <c r="D70" s="234"/>
      <c r="E70" s="235"/>
      <c r="F70" s="13"/>
      <c r="G70" s="13"/>
      <c r="H70" s="431"/>
    </row>
    <row r="71" spans="1:8" x14ac:dyDescent="0.25">
      <c r="A71" s="61" t="s">
        <v>161</v>
      </c>
      <c r="B71" s="44" t="s">
        <v>162</v>
      </c>
      <c r="C71" s="239">
        <f t="shared" ref="C71:H71" si="20">+C69+C68+C67+C66+C65+C64+C63+C62</f>
        <v>129349120</v>
      </c>
      <c r="D71" s="239">
        <f t="shared" si="20"/>
        <v>0</v>
      </c>
      <c r="E71" s="239">
        <f t="shared" si="20"/>
        <v>129349120</v>
      </c>
      <c r="F71" s="60">
        <f t="shared" si="20"/>
        <v>129349120</v>
      </c>
      <c r="G71" s="60">
        <f t="shared" si="20"/>
        <v>0</v>
      </c>
      <c r="H71" s="468">
        <f t="shared" si="20"/>
        <v>129349120</v>
      </c>
    </row>
    <row r="72" spans="1:8" hidden="1" x14ac:dyDescent="0.25">
      <c r="A72" s="59" t="s">
        <v>163</v>
      </c>
      <c r="B72" s="41" t="s">
        <v>164</v>
      </c>
      <c r="C72" s="234">
        <f>+'7 Önk'!D60+'8 PH'!D60+'9 VGIG'!D60+'10 Járób'!D60+'11 Szoci'!D60+'12 Ovi'!D60+'13 Művház'!D60+'14 Könyvt'!D60</f>
        <v>0</v>
      </c>
      <c r="D72" s="234">
        <f>+'7 Önk'!E60+'8 PH'!E60+'9 VGIG'!E60+'10 Járób'!E60+'11 Szoci'!E60+'12 Ovi'!E60+'13 Művház'!E60+'14 Könyvt'!E60</f>
        <v>0</v>
      </c>
      <c r="E72" s="235">
        <f>+C72+D72</f>
        <v>0</v>
      </c>
      <c r="F72" s="13">
        <f>+'7 Önk'!G60+'8 PH'!G60+'9 VGIG'!G60+'10 Járób'!G60+'11 Szoci'!G60+'12 Ovi'!G60+'13 Művház'!G60+'14 Könyvt'!G60</f>
        <v>0</v>
      </c>
      <c r="G72" s="13">
        <f>+'7 Önk'!H60+'8 PH'!H60+'9 VGIG'!H60+'10 Járób'!H60+'11 Szoci'!H60+'12 Ovi'!H60+'13 Művház'!H60+'14 Könyvt'!H60</f>
        <v>0</v>
      </c>
      <c r="H72" s="431">
        <f t="shared" ref="H72:H73" si="21">+F72+G72</f>
        <v>0</v>
      </c>
    </row>
    <row r="73" spans="1:8" hidden="1" x14ac:dyDescent="0.25">
      <c r="A73" s="54" t="s">
        <v>165</v>
      </c>
      <c r="B73" s="41" t="s">
        <v>166</v>
      </c>
      <c r="C73" s="234">
        <f>+'7 Önk'!D61+'8 PH'!D61+'9 VGIG'!D61+'10 Járób'!D61+'11 Szoci'!D61+'12 Ovi'!D61+'13 Művház'!D61+'14 Könyvt'!D61</f>
        <v>0</v>
      </c>
      <c r="D73" s="234">
        <f>+'7 Önk'!E61+'8 PH'!E61+'9 VGIG'!E61+'10 Járób'!E61+'11 Szoci'!E61+'12 Ovi'!E61+'13 Művház'!E61+'14 Könyvt'!E61</f>
        <v>0</v>
      </c>
      <c r="E73" s="235">
        <f>+C73+D73</f>
        <v>0</v>
      </c>
      <c r="F73" s="13">
        <f>+'7 Önk'!G61+'8 PH'!G61+'9 VGIG'!G61+'10 Járób'!G61+'11 Szoci'!G61+'12 Ovi'!G61+'13 Művház'!G61+'14 Könyvt'!G61</f>
        <v>0</v>
      </c>
      <c r="G73" s="13">
        <f>+'7 Önk'!H61+'8 PH'!H61+'9 VGIG'!H61+'10 Járób'!H61+'11 Szoci'!H61+'12 Ovi'!H61+'13 Művház'!H61+'14 Könyvt'!H61</f>
        <v>0</v>
      </c>
      <c r="H73" s="431">
        <f t="shared" si="21"/>
        <v>0</v>
      </c>
    </row>
    <row r="74" spans="1:8" hidden="1" x14ac:dyDescent="0.25">
      <c r="A74" s="54" t="s">
        <v>167</v>
      </c>
      <c r="B74" s="41" t="s">
        <v>168</v>
      </c>
      <c r="C74" s="234"/>
      <c r="D74" s="234"/>
      <c r="E74" s="235"/>
      <c r="F74" s="13"/>
      <c r="G74" s="13"/>
      <c r="H74" s="431"/>
    </row>
    <row r="75" spans="1:8" x14ac:dyDescent="0.25">
      <c r="A75" s="62" t="s">
        <v>169</v>
      </c>
      <c r="B75" s="63" t="s">
        <v>170</v>
      </c>
      <c r="C75" s="240">
        <f t="shared" ref="C75:H75" si="22">+C73+C72+C71+C74</f>
        <v>129349120</v>
      </c>
      <c r="D75" s="240">
        <f t="shared" si="22"/>
        <v>0</v>
      </c>
      <c r="E75" s="240">
        <f t="shared" si="22"/>
        <v>129349120</v>
      </c>
      <c r="F75" s="64">
        <f t="shared" si="22"/>
        <v>129349120</v>
      </c>
      <c r="G75" s="64">
        <f t="shared" si="22"/>
        <v>0</v>
      </c>
      <c r="H75" s="435">
        <f t="shared" si="22"/>
        <v>129349120</v>
      </c>
    </row>
    <row r="76" spans="1:8" x14ac:dyDescent="0.25">
      <c r="A76" s="17" t="s">
        <v>171</v>
      </c>
      <c r="B76" s="17" t="s">
        <v>172</v>
      </c>
      <c r="C76" s="241">
        <f t="shared" ref="C76:H76" si="23">+C58+C75</f>
        <v>4339754303</v>
      </c>
      <c r="D76" s="241">
        <f t="shared" si="23"/>
        <v>1802417551</v>
      </c>
      <c r="E76" s="241">
        <f t="shared" si="23"/>
        <v>6142171854</v>
      </c>
      <c r="F76" s="18">
        <f t="shared" si="23"/>
        <v>4397281802</v>
      </c>
      <c r="G76" s="18">
        <f t="shared" si="23"/>
        <v>1805835952</v>
      </c>
      <c r="H76" s="436">
        <f t="shared" si="23"/>
        <v>6203117754</v>
      </c>
    </row>
    <row r="77" spans="1:8" x14ac:dyDescent="0.25">
      <c r="A77" s="2"/>
      <c r="B77" s="2"/>
      <c r="C77" s="242"/>
      <c r="D77" s="242"/>
      <c r="E77" s="243"/>
      <c r="F77" s="3"/>
      <c r="G77" s="3"/>
      <c r="H77" s="3"/>
    </row>
    <row r="78" spans="1:8" ht="15.75" hidden="1" customHeight="1" x14ac:dyDescent="0.25">
      <c r="A78" s="2"/>
      <c r="B78" s="2"/>
      <c r="C78" s="580" t="s">
        <v>7</v>
      </c>
      <c r="D78" s="580"/>
      <c r="E78" s="580"/>
      <c r="F78" s="579" t="s">
        <v>7</v>
      </c>
      <c r="G78" s="579"/>
      <c r="H78" s="581"/>
    </row>
    <row r="79" spans="1:8" ht="31.5" x14ac:dyDescent="0.25">
      <c r="A79" s="8" t="s">
        <v>8</v>
      </c>
      <c r="B79" s="35" t="s">
        <v>173</v>
      </c>
      <c r="C79" s="244" t="s">
        <v>9</v>
      </c>
      <c r="D79" s="244" t="s">
        <v>10</v>
      </c>
      <c r="E79" s="245" t="s">
        <v>11</v>
      </c>
      <c r="F79" s="37" t="s">
        <v>9</v>
      </c>
      <c r="G79" s="37" t="s">
        <v>10</v>
      </c>
      <c r="H79" s="469" t="s">
        <v>11</v>
      </c>
    </row>
    <row r="80" spans="1:8" x14ac:dyDescent="0.25">
      <c r="A80" s="39" t="s">
        <v>174</v>
      </c>
      <c r="B80" s="52" t="s">
        <v>175</v>
      </c>
      <c r="C80" s="234">
        <f>+'3 Adók és tám'!D50</f>
        <v>231083931</v>
      </c>
      <c r="D80" s="234"/>
      <c r="E80" s="235">
        <f t="shared" ref="E80:E85" si="24">+D80+C80</f>
        <v>231083931</v>
      </c>
      <c r="F80" s="13">
        <f>+'3 Adók és tám'!E50</f>
        <v>231525497</v>
      </c>
      <c r="G80" s="13"/>
      <c r="H80" s="431">
        <f t="shared" ref="H80:H85" si="25">+G80+F80</f>
        <v>231525497</v>
      </c>
    </row>
    <row r="81" spans="1:8" x14ac:dyDescent="0.25">
      <c r="A81" s="41" t="s">
        <v>176</v>
      </c>
      <c r="B81" s="52" t="s">
        <v>177</v>
      </c>
      <c r="C81" s="234">
        <f>+'3 Adók és tám'!D56</f>
        <v>188115150</v>
      </c>
      <c r="D81" s="234"/>
      <c r="E81" s="235">
        <f t="shared" si="24"/>
        <v>188115150</v>
      </c>
      <c r="F81" s="13">
        <f>+'3 Adók és tám'!E56</f>
        <v>188115150</v>
      </c>
      <c r="G81" s="13"/>
      <c r="H81" s="431">
        <f t="shared" si="25"/>
        <v>188115150</v>
      </c>
    </row>
    <row r="82" spans="1:8" x14ac:dyDescent="0.25">
      <c r="A82" s="41" t="s">
        <v>178</v>
      </c>
      <c r="B82" s="52" t="s">
        <v>179</v>
      </c>
      <c r="C82" s="234">
        <f>+'3 Adók és tám'!D75</f>
        <v>613313111</v>
      </c>
      <c r="D82" s="234"/>
      <c r="E82" s="235">
        <f t="shared" si="24"/>
        <v>613313111</v>
      </c>
      <c r="F82" s="13">
        <f>+'3 Adók és tám'!E75</f>
        <v>645839503</v>
      </c>
      <c r="G82" s="13"/>
      <c r="H82" s="431">
        <f t="shared" si="25"/>
        <v>645839503</v>
      </c>
    </row>
    <row r="83" spans="1:8" x14ac:dyDescent="0.25">
      <c r="A83" s="41" t="s">
        <v>180</v>
      </c>
      <c r="B83" s="52" t="s">
        <v>181</v>
      </c>
      <c r="C83" s="234">
        <f>+'3 Adók és tám'!D79</f>
        <v>13684689</v>
      </c>
      <c r="D83" s="234"/>
      <c r="E83" s="235">
        <f t="shared" si="24"/>
        <v>13684689</v>
      </c>
      <c r="F83" s="13">
        <f>+'3 Adók és tám'!E79</f>
        <v>17689320</v>
      </c>
      <c r="G83" s="13"/>
      <c r="H83" s="431">
        <f t="shared" si="25"/>
        <v>17689320</v>
      </c>
    </row>
    <row r="84" spans="1:8" x14ac:dyDescent="0.25">
      <c r="A84" s="41" t="s">
        <v>182</v>
      </c>
      <c r="B84" s="52" t="s">
        <v>183</v>
      </c>
      <c r="C84" s="234">
        <f>+'3 Adók és tám'!D84</f>
        <v>178683642</v>
      </c>
      <c r="D84" s="234"/>
      <c r="E84" s="235">
        <f t="shared" si="24"/>
        <v>178683642</v>
      </c>
      <c r="F84" s="13">
        <f>+'3 Adók és tám'!E84</f>
        <v>177168877</v>
      </c>
      <c r="G84" s="13"/>
      <c r="H84" s="431">
        <f t="shared" si="25"/>
        <v>177168877</v>
      </c>
    </row>
    <row r="85" spans="1:8" x14ac:dyDescent="0.25">
      <c r="A85" s="41" t="s">
        <v>184</v>
      </c>
      <c r="B85" s="52" t="s">
        <v>185</v>
      </c>
      <c r="C85" s="234">
        <f>+'3 Adók és tám'!D86</f>
        <v>0</v>
      </c>
      <c r="D85" s="234"/>
      <c r="E85" s="235">
        <f t="shared" si="24"/>
        <v>0</v>
      </c>
      <c r="F85" s="13">
        <f>+'3 Adók és tám'!E86</f>
        <v>0</v>
      </c>
      <c r="G85" s="13"/>
      <c r="H85" s="431">
        <f t="shared" si="25"/>
        <v>0</v>
      </c>
    </row>
    <row r="86" spans="1:8" x14ac:dyDescent="0.25">
      <c r="A86" s="44" t="s">
        <v>186</v>
      </c>
      <c r="B86" s="53" t="s">
        <v>187</v>
      </c>
      <c r="C86" s="235">
        <f t="shared" ref="C86:H86" si="26">SUM(C80:C85)</f>
        <v>1224880523</v>
      </c>
      <c r="D86" s="235">
        <f t="shared" si="26"/>
        <v>0</v>
      </c>
      <c r="E86" s="235">
        <f t="shared" si="26"/>
        <v>1224880523</v>
      </c>
      <c r="F86" s="14">
        <f t="shared" si="26"/>
        <v>1260338347</v>
      </c>
      <c r="G86" s="14">
        <f t="shared" si="26"/>
        <v>0</v>
      </c>
      <c r="H86" s="431">
        <f t="shared" si="26"/>
        <v>1260338347</v>
      </c>
    </row>
    <row r="87" spans="1:8" x14ac:dyDescent="0.25">
      <c r="A87" s="41" t="s">
        <v>188</v>
      </c>
      <c r="B87" s="52" t="s">
        <v>189</v>
      </c>
      <c r="C87" s="234">
        <f>+'7 Önk'!D69+'8 PH'!D69+'9 VGIG'!D69+'10 Járób'!D69+'11 Szoci'!D69+'12 Ovi'!D69+'13 Művház'!D69+'14 Könyvt'!D69</f>
        <v>0</v>
      </c>
      <c r="D87" s="234">
        <f>+'7 Önk'!E69+'8 PH'!E69+'9 VGIG'!E69+'10 Járób'!E69+'11 Szoci'!E69+'12 Ovi'!E69+'13 Művház'!E69+'14 Könyvt'!E69</f>
        <v>0</v>
      </c>
      <c r="E87" s="235">
        <f>+D87+C87</f>
        <v>0</v>
      </c>
      <c r="F87" s="13">
        <f>+'7 Önk'!G69+'8 PH'!G69+'9 VGIG'!G69+'10 Járób'!G69+'11 Szoci'!G69+'12 Ovi'!G69+'13 Művház'!G69+'14 Könyvt'!G69</f>
        <v>0</v>
      </c>
      <c r="G87" s="13">
        <f>+'7 Önk'!H69+'8 PH'!H69+'9 VGIG'!H69+'10 Járób'!H69+'11 Szoci'!H69+'12 Ovi'!H69+'13 Művház'!H69+'14 Könyvt'!H69</f>
        <v>0</v>
      </c>
      <c r="H87" s="431">
        <f>+G87+F87</f>
        <v>0</v>
      </c>
    </row>
    <row r="88" spans="1:8" x14ac:dyDescent="0.25">
      <c r="A88" s="41" t="s">
        <v>190</v>
      </c>
      <c r="B88" s="52" t="s">
        <v>191</v>
      </c>
      <c r="C88" s="234">
        <f>+'7 Önk'!D70+'8 PH'!D70+'9 VGIG'!D70+'10 Járób'!D70+'11 Szoci'!D70+'12 Ovi'!D70+'13 Művház'!D70+'14 Könyvt'!D70</f>
        <v>0</v>
      </c>
      <c r="D88" s="234">
        <f>+'7 Önk'!E70+'8 PH'!E70+'9 VGIG'!E70+'10 Járób'!E70+'11 Szoci'!E70+'12 Ovi'!E70+'13 Művház'!E70+'14 Könyvt'!E70</f>
        <v>0</v>
      </c>
      <c r="E88" s="235">
        <f>+D88+C88</f>
        <v>0</v>
      </c>
      <c r="F88" s="13">
        <f>+'7 Önk'!G70+'8 PH'!G70+'9 VGIG'!G70+'10 Járób'!G70+'11 Szoci'!G70+'12 Ovi'!G70+'13 Művház'!G70+'14 Könyvt'!G70</f>
        <v>0</v>
      </c>
      <c r="G88" s="13">
        <f>+'7 Önk'!H70+'8 PH'!H70+'9 VGIG'!H70+'10 Járób'!H70+'11 Szoci'!H70+'12 Ovi'!H70+'13 Művház'!H70+'14 Könyvt'!H70</f>
        <v>0</v>
      </c>
      <c r="H88" s="431">
        <f>+G88+F88</f>
        <v>0</v>
      </c>
    </row>
    <row r="89" spans="1:8" ht="31.5" x14ac:dyDescent="0.25">
      <c r="A89" s="41" t="s">
        <v>192</v>
      </c>
      <c r="B89" s="52" t="s">
        <v>193</v>
      </c>
      <c r="C89" s="234">
        <f>+'7 Önk'!D71+'8 PH'!D71+'9 VGIG'!D71+'10 Járób'!D71+'11 Szoci'!D71+'12 Ovi'!D71+'13 Művház'!D71+'14 Könyvt'!D71</f>
        <v>0</v>
      </c>
      <c r="D89" s="234">
        <f>+'7 Önk'!E71+'8 PH'!E71+'9 VGIG'!E71+'10 Járób'!E71+'11 Szoci'!E71+'12 Ovi'!E71+'13 Művház'!E71+'14 Könyvt'!E71</f>
        <v>0</v>
      </c>
      <c r="E89" s="235">
        <f>+D89+C89</f>
        <v>0</v>
      </c>
      <c r="F89" s="13">
        <f>+'7 Önk'!G71+'8 PH'!G71+'9 VGIG'!G71+'10 Járób'!G71+'11 Szoci'!G71+'12 Ovi'!G71+'13 Művház'!G71+'14 Könyvt'!G71</f>
        <v>0</v>
      </c>
      <c r="G89" s="13">
        <f>+'7 Önk'!H71+'8 PH'!H71+'9 VGIG'!H71+'10 Járób'!H71+'11 Szoci'!H71+'12 Ovi'!H71+'13 Művház'!H71+'14 Könyvt'!H71</f>
        <v>0</v>
      </c>
      <c r="H89" s="431">
        <f>+G89+F89</f>
        <v>0</v>
      </c>
    </row>
    <row r="90" spans="1:8" ht="31.5" x14ac:dyDescent="0.25">
      <c r="A90" s="41" t="s">
        <v>194</v>
      </c>
      <c r="B90" s="52" t="s">
        <v>195</v>
      </c>
      <c r="C90" s="234">
        <f>+'7 Önk'!D72+'8 PH'!D72+'9 VGIG'!D72+'10 Járób'!D72+'11 Szoci'!D72+'12 Ovi'!D72+'13 Művház'!D72+'14 Könyvt'!D72</f>
        <v>0</v>
      </c>
      <c r="D90" s="234">
        <f>+'7 Önk'!E72+'8 PH'!E72+'9 VGIG'!E72+'10 Járób'!E72+'11 Szoci'!E72+'12 Ovi'!E72+'13 Művház'!E72+'14 Könyvt'!E72</f>
        <v>0</v>
      </c>
      <c r="E90" s="235">
        <f>+D90+C90</f>
        <v>0</v>
      </c>
      <c r="F90" s="13">
        <f>+'7 Önk'!G72+'8 PH'!G72+'9 VGIG'!G72+'10 Járób'!G72+'11 Szoci'!G72+'12 Ovi'!G72+'13 Művház'!G72+'14 Könyvt'!G72</f>
        <v>0</v>
      </c>
      <c r="G90" s="13">
        <f>+'7 Önk'!H72+'8 PH'!H72+'9 VGIG'!H72+'10 Járób'!H72+'11 Szoci'!H72+'12 Ovi'!H72+'13 Művház'!H72+'14 Könyvt'!H72</f>
        <v>0</v>
      </c>
      <c r="H90" s="431">
        <f>+G90+F90</f>
        <v>0</v>
      </c>
    </row>
    <row r="91" spans="1:8" x14ac:dyDescent="0.25">
      <c r="A91" s="41" t="s">
        <v>196</v>
      </c>
      <c r="B91" s="52" t="s">
        <v>197</v>
      </c>
      <c r="C91" s="234">
        <f>+'7 Önk'!D73+'8 PH'!D73+'9 VGIG'!D73+'10 Járób'!D73+'11 Szoci'!D73+'12 Ovi'!D73+'13 Művház'!D73+'14 Könyvt'!D73+'4 Átvett és Felh bev'!D26</f>
        <v>132555880</v>
      </c>
      <c r="D91" s="234">
        <f>+'7 Önk'!E73+'8 PH'!E73+'9 VGIG'!E73+'10 Járób'!E73+'11 Szoci'!E73+'12 Ovi'!E73+'13 Művház'!E73+'14 Könyvt'!E73+'4 Átvett és Felh bev'!E26</f>
        <v>810203780</v>
      </c>
      <c r="E91" s="235">
        <f>+D91+C91</f>
        <v>942759660</v>
      </c>
      <c r="F91" s="13">
        <f>+'7 Önk'!G73+'8 PH'!G73+'9 VGIG'!G73+'10 Járób'!G73+'11 Szoci'!G73+'12 Ovi'!G73+'13 Művház'!G73+'14 Könyvt'!G73+'4 Átvett és Felh bev'!F26</f>
        <v>133055880</v>
      </c>
      <c r="G91" s="13">
        <f>+'7 Önk'!H73+'8 PH'!H73+'9 VGIG'!H73+'10 Járób'!H73+'11 Szoci'!H73+'12 Ovi'!H73+'13 Művház'!H73+'14 Könyvt'!H73+'4 Átvett és Felh bev'!G26</f>
        <v>810203780</v>
      </c>
      <c r="H91" s="431">
        <f>+G91+F91</f>
        <v>943259660</v>
      </c>
    </row>
    <row r="92" spans="1:8" x14ac:dyDescent="0.25">
      <c r="A92" s="44" t="s">
        <v>198</v>
      </c>
      <c r="B92" s="53" t="s">
        <v>199</v>
      </c>
      <c r="C92" s="235">
        <f t="shared" ref="C92:H92" si="27">+C91+C90+C89+C88+C87+C86</f>
        <v>1357436403</v>
      </c>
      <c r="D92" s="235">
        <f t="shared" si="27"/>
        <v>810203780</v>
      </c>
      <c r="E92" s="235">
        <f t="shared" si="27"/>
        <v>2167640183</v>
      </c>
      <c r="F92" s="14">
        <f t="shared" si="27"/>
        <v>1393394227</v>
      </c>
      <c r="G92" s="14">
        <f t="shared" si="27"/>
        <v>810203780</v>
      </c>
      <c r="H92" s="431">
        <f t="shared" si="27"/>
        <v>2203598007</v>
      </c>
    </row>
    <row r="93" spans="1:8" x14ac:dyDescent="0.25">
      <c r="A93" s="44" t="s">
        <v>200</v>
      </c>
      <c r="B93" s="53" t="s">
        <v>201</v>
      </c>
      <c r="C93" s="235">
        <f>+'7 Önk'!D75+'8 PH'!D75+'9 VGIG'!D75+'10 Járób'!D75+'11 Szoci'!D75+'12 Ovi'!D75+'13 Művház'!D75+'14 Könyvt'!D75+'4 Átvett és Felh bev'!D51</f>
        <v>690056378</v>
      </c>
      <c r="D93" s="235">
        <f>+'7 Önk'!E75+'8 PH'!E75+'9 VGIG'!E75+'10 Járób'!E75+'11 Szoci'!E75+'12 Ovi'!E75+'13 Művház'!E75+'14 Könyvt'!E75+'4 Átvett és Felh bev'!E51</f>
        <v>502853243</v>
      </c>
      <c r="E93" s="235">
        <f t="shared" ref="E93:E99" si="28">+D93+C93</f>
        <v>1192909621</v>
      </c>
      <c r="F93" s="14">
        <f>+'7 Önk'!G75+'8 PH'!G75+'9 VGIG'!G75+'10 Járób'!G75+'11 Szoci'!G75+'12 Ovi'!G75+'13 Művház'!G75+'14 Könyvt'!G75+'4 Átvett és Felh bev'!F51</f>
        <v>690056378</v>
      </c>
      <c r="G93" s="14">
        <f>+'7 Önk'!H75+'8 PH'!H75+'9 VGIG'!H75+'10 Járób'!H75+'11 Szoci'!H75+'12 Ovi'!H75+'13 Művház'!H75+'14 Könyvt'!H75+'4 Átvett és Felh bev'!G51</f>
        <v>502853243</v>
      </c>
      <c r="H93" s="431">
        <f t="shared" ref="H93:H99" si="29">+G93+F93</f>
        <v>1192909621</v>
      </c>
    </row>
    <row r="94" spans="1:8" x14ac:dyDescent="0.25">
      <c r="A94" s="41" t="s">
        <v>202</v>
      </c>
      <c r="B94" s="52" t="s">
        <v>203</v>
      </c>
      <c r="C94" s="234">
        <f>+'7 Önk'!D76+'8 PH'!D76+'9 VGIG'!D76+'10 Járób'!D76+'11 Szoci'!D76+'12 Ovi'!D76+'13 Művház'!D76+'14 Könyvt'!D76</f>
        <v>0</v>
      </c>
      <c r="D94" s="234">
        <f>+'7 Önk'!E76+'8 PH'!E76+'9 VGIG'!E76+'10 Járób'!E76+'11 Szoci'!E76+'12 Ovi'!E76+'13 Művház'!E76+'14 Könyvt'!E76</f>
        <v>0</v>
      </c>
      <c r="E94" s="235">
        <f t="shared" si="28"/>
        <v>0</v>
      </c>
      <c r="F94" s="13">
        <f>+'7 Önk'!G76+'8 PH'!G76+'9 VGIG'!G76+'10 Járób'!G76+'11 Szoci'!G76+'12 Ovi'!G76+'13 Művház'!G76+'14 Könyvt'!G76</f>
        <v>0</v>
      </c>
      <c r="G94" s="13">
        <f>+'7 Önk'!H76+'8 PH'!H76+'9 VGIG'!H76+'10 Járób'!H76+'11 Szoci'!H76+'12 Ovi'!H76+'13 Művház'!H76+'14 Könyvt'!H76</f>
        <v>0</v>
      </c>
      <c r="H94" s="431">
        <f t="shared" si="29"/>
        <v>0</v>
      </c>
    </row>
    <row r="95" spans="1:8" x14ac:dyDescent="0.25">
      <c r="A95" s="41" t="s">
        <v>204</v>
      </c>
      <c r="B95" s="52" t="s">
        <v>205</v>
      </c>
      <c r="C95" s="234">
        <f>+'7 Önk'!D77+'8 PH'!D77+'9 VGIG'!D77+'10 Járób'!D77+'11 Szoci'!D77+'12 Ovi'!D77+'13 Művház'!D77+'14 Könyvt'!D77</f>
        <v>0</v>
      </c>
      <c r="D95" s="234">
        <f>+'7 Önk'!E77+'8 PH'!E77+'9 VGIG'!E77+'10 Járób'!E77+'11 Szoci'!E77+'12 Ovi'!E77+'13 Művház'!E77+'14 Könyvt'!E77</f>
        <v>0</v>
      </c>
      <c r="E95" s="235">
        <f t="shared" si="28"/>
        <v>0</v>
      </c>
      <c r="F95" s="13">
        <f>+'7 Önk'!G77+'8 PH'!G77+'9 VGIG'!G77+'10 Járób'!G77+'11 Szoci'!G77+'12 Ovi'!G77+'13 Művház'!G77+'14 Könyvt'!G77</f>
        <v>0</v>
      </c>
      <c r="G95" s="13">
        <f>+'7 Önk'!H77+'8 PH'!H77+'9 VGIG'!H77+'10 Járób'!H77+'11 Szoci'!H77+'12 Ovi'!H77+'13 Művház'!H77+'14 Könyvt'!H77</f>
        <v>0</v>
      </c>
      <c r="H95" s="431">
        <f t="shared" si="29"/>
        <v>0</v>
      </c>
    </row>
    <row r="96" spans="1:8" x14ac:dyDescent="0.25">
      <c r="A96" s="41" t="s">
        <v>206</v>
      </c>
      <c r="B96" s="52" t="s">
        <v>207</v>
      </c>
      <c r="C96" s="234">
        <f>+'7 Önk'!D78+'8 PH'!D78+'9 VGIG'!D78+'10 Járób'!D78+'11 Szoci'!D78+'12 Ovi'!D78+'13 Művház'!D78+'14 Könyvt'!D78</f>
        <v>0</v>
      </c>
      <c r="D96" s="234">
        <f>+'7 Önk'!E78+'8 PH'!E78+'9 VGIG'!E78+'10 Járób'!E78+'11 Szoci'!E78+'12 Ovi'!E78+'13 Művház'!E78+'14 Könyvt'!E78</f>
        <v>0</v>
      </c>
      <c r="E96" s="235">
        <f t="shared" si="28"/>
        <v>0</v>
      </c>
      <c r="F96" s="13">
        <f>+'7 Önk'!G78+'8 PH'!G78+'9 VGIG'!G78+'10 Járób'!G78+'11 Szoci'!G78+'12 Ovi'!G78+'13 Művház'!G78+'14 Könyvt'!G78</f>
        <v>0</v>
      </c>
      <c r="G96" s="13">
        <f>+'7 Önk'!H78+'8 PH'!H78+'9 VGIG'!H78+'10 Járób'!H78+'11 Szoci'!H78+'12 Ovi'!H78+'13 Művház'!H78+'14 Könyvt'!H78</f>
        <v>0</v>
      </c>
      <c r="H96" s="431">
        <f t="shared" si="29"/>
        <v>0</v>
      </c>
    </row>
    <row r="97" spans="1:8" x14ac:dyDescent="0.25">
      <c r="A97" s="41" t="s">
        <v>208</v>
      </c>
      <c r="B97" s="52" t="s">
        <v>209</v>
      </c>
      <c r="C97" s="234">
        <f>+'3 Adók és tám'!D13</f>
        <v>122800000</v>
      </c>
      <c r="D97" s="234"/>
      <c r="E97" s="235">
        <f t="shared" si="28"/>
        <v>122800000</v>
      </c>
      <c r="F97" s="13">
        <f>+'3 Adók és tám'!E13</f>
        <v>122800000</v>
      </c>
      <c r="G97" s="13"/>
      <c r="H97" s="431">
        <f t="shared" si="29"/>
        <v>122800000</v>
      </c>
    </row>
    <row r="98" spans="1:8" x14ac:dyDescent="0.25">
      <c r="A98" s="41" t="s">
        <v>210</v>
      </c>
      <c r="B98" s="52" t="s">
        <v>211</v>
      </c>
      <c r="C98" s="234">
        <f>+'3 Adók és tám'!D23-D98</f>
        <v>324390808</v>
      </c>
      <c r="D98" s="234">
        <v>54609192</v>
      </c>
      <c r="E98" s="235">
        <f t="shared" si="28"/>
        <v>379000000</v>
      </c>
      <c r="F98" s="13">
        <f>+'3 Adók és tám'!E23-G98</f>
        <v>324390808</v>
      </c>
      <c r="G98" s="234">
        <v>54609192</v>
      </c>
      <c r="H98" s="431">
        <f t="shared" si="29"/>
        <v>379000000</v>
      </c>
    </row>
    <row r="99" spans="1:8" x14ac:dyDescent="0.25">
      <c r="A99" s="41" t="s">
        <v>212</v>
      </c>
      <c r="B99" s="52" t="s">
        <v>213</v>
      </c>
      <c r="C99" s="234">
        <f>+'3 Adók és tám'!D34</f>
        <v>500000</v>
      </c>
      <c r="D99" s="234"/>
      <c r="E99" s="235">
        <f t="shared" si="28"/>
        <v>500000</v>
      </c>
      <c r="F99" s="13">
        <f>+'3 Adók és tám'!E34</f>
        <v>500000</v>
      </c>
      <c r="G99" s="13"/>
      <c r="H99" s="431">
        <f t="shared" si="29"/>
        <v>500000</v>
      </c>
    </row>
    <row r="100" spans="1:8" x14ac:dyDescent="0.25">
      <c r="A100" s="44" t="s">
        <v>214</v>
      </c>
      <c r="B100" s="53" t="s">
        <v>215</v>
      </c>
      <c r="C100" s="235">
        <f t="shared" ref="C100:H100" si="30">SUM(C94:C99)</f>
        <v>447690808</v>
      </c>
      <c r="D100" s="235">
        <f t="shared" si="30"/>
        <v>54609192</v>
      </c>
      <c r="E100" s="235">
        <f t="shared" si="30"/>
        <v>502300000</v>
      </c>
      <c r="F100" s="14">
        <f t="shared" si="30"/>
        <v>447690808</v>
      </c>
      <c r="G100" s="14">
        <f t="shared" si="30"/>
        <v>54609192</v>
      </c>
      <c r="H100" s="431">
        <f t="shared" si="30"/>
        <v>502300000</v>
      </c>
    </row>
    <row r="101" spans="1:8" x14ac:dyDescent="0.25">
      <c r="A101" s="54" t="s">
        <v>216</v>
      </c>
      <c r="B101" s="52" t="s">
        <v>217</v>
      </c>
      <c r="C101" s="234">
        <f>+'7 Önk'!D83+'8 PH'!D83+'9 VGIG'!D83+'10 Járób'!D83+'11 Szoci'!D83+'12 Ovi'!D83+'13 Művház'!D83+'14 Könyvt'!D83</f>
        <v>473000</v>
      </c>
      <c r="D101" s="234">
        <f>+'7 Önk'!E83+'8 PH'!E83+'9 VGIG'!E83+'10 Járób'!E83+'11 Szoci'!E83+'12 Ovi'!E83+'13 Művház'!E83+'14 Könyvt'!E83</f>
        <v>571000</v>
      </c>
      <c r="E101" s="235">
        <f t="shared" ref="E101:E111" si="31">+D101+C101</f>
        <v>1044000</v>
      </c>
      <c r="F101" s="13">
        <f>+'7 Önk'!G83+'8 PH'!G83+'9 VGIG'!G83+'10 Járób'!G83+'11 Szoci'!G83+'12 Ovi'!G83+'13 Művház'!G83+'14 Könyvt'!G83</f>
        <v>573000</v>
      </c>
      <c r="G101" s="13">
        <f>+'7 Önk'!H83+'8 PH'!H83+'9 VGIG'!H83+'10 Járób'!H83+'11 Szoci'!H83+'12 Ovi'!H83+'13 Művház'!H83+'14 Könyvt'!H83</f>
        <v>571000</v>
      </c>
      <c r="H101" s="431">
        <f t="shared" ref="H101:H111" si="32">+G101+F101</f>
        <v>1144000</v>
      </c>
    </row>
    <row r="102" spans="1:8" x14ac:dyDescent="0.25">
      <c r="A102" s="54" t="s">
        <v>218</v>
      </c>
      <c r="B102" s="52" t="s">
        <v>219</v>
      </c>
      <c r="C102" s="234">
        <f>+'7 Önk'!D84+'8 PH'!D84+'9 VGIG'!D84+'10 Járób'!D84+'11 Szoci'!D84+'12 Ovi'!D84+'13 Művház'!D84+'14 Könyvt'!D84</f>
        <v>72709207</v>
      </c>
      <c r="D102" s="234">
        <f>+'7 Önk'!E84+'8 PH'!E84+'9 VGIG'!E84+'10 Járób'!E84+'11 Szoci'!E84+'12 Ovi'!E84+'13 Művház'!E84+'14 Könyvt'!E84</f>
        <v>215364053</v>
      </c>
      <c r="E102" s="235">
        <f t="shared" si="31"/>
        <v>288073260</v>
      </c>
      <c r="F102" s="13">
        <f>+'7 Önk'!G84+'8 PH'!G84+'9 VGIG'!G84+'10 Járób'!G84+'11 Szoci'!G84+'12 Ovi'!G84+'13 Művház'!G84+'14 Könyvt'!G84</f>
        <v>69642207</v>
      </c>
      <c r="G102" s="13">
        <f>+'7 Önk'!H84+'8 PH'!H84+'9 VGIG'!H84+'10 Járób'!H84+'11 Szoci'!H84+'12 Ovi'!H84+'13 Művház'!H84+'14 Könyvt'!H84</f>
        <v>215364053</v>
      </c>
      <c r="H102" s="431">
        <f t="shared" si="32"/>
        <v>285006260</v>
      </c>
    </row>
    <row r="103" spans="1:8" x14ac:dyDescent="0.25">
      <c r="A103" s="54" t="s">
        <v>220</v>
      </c>
      <c r="B103" s="52" t="s">
        <v>221</v>
      </c>
      <c r="C103" s="234">
        <f>+'7 Önk'!D85+'8 PH'!D85+'9 VGIG'!D85+'10 Járób'!D85+'11 Szoci'!D85+'12 Ovi'!D85+'13 Művház'!D85+'14 Könyvt'!D85</f>
        <v>0</v>
      </c>
      <c r="D103" s="234">
        <f>+'7 Önk'!E85+'8 PH'!E85+'9 VGIG'!E85+'10 Járób'!E85+'11 Szoci'!E85+'12 Ovi'!E85+'13 Művház'!E85+'14 Könyvt'!E85</f>
        <v>321000</v>
      </c>
      <c r="E103" s="235">
        <f t="shared" si="31"/>
        <v>321000</v>
      </c>
      <c r="F103" s="13">
        <f>+'7 Önk'!G85+'8 PH'!G85+'9 VGIG'!G85+'10 Járób'!G85+'11 Szoci'!G85+'12 Ovi'!G85+'13 Művház'!G85+'14 Könyvt'!G85</f>
        <v>0</v>
      </c>
      <c r="G103" s="13">
        <f>+'7 Önk'!H85+'8 PH'!H85+'9 VGIG'!H85+'10 Járób'!H85+'11 Szoci'!H85+'12 Ovi'!H85+'13 Művház'!H85+'14 Könyvt'!H85</f>
        <v>321000</v>
      </c>
      <c r="H103" s="431">
        <f t="shared" si="32"/>
        <v>321000</v>
      </c>
    </row>
    <row r="104" spans="1:8" x14ac:dyDescent="0.25">
      <c r="A104" s="54" t="s">
        <v>222</v>
      </c>
      <c r="B104" s="52" t="s">
        <v>223</v>
      </c>
      <c r="C104" s="234">
        <f>+'7 Önk'!D86+'8 PH'!D86+'9 VGIG'!D86+'10 Járób'!D86+'11 Szoci'!D86+'12 Ovi'!D86+'13 Művház'!D86+'14 Könyvt'!D86</f>
        <v>944000</v>
      </c>
      <c r="D104" s="234">
        <f>+'7 Önk'!E86+'8 PH'!E86+'9 VGIG'!E86+'10 Járób'!E86+'11 Szoci'!E86+'12 Ovi'!E86+'13 Művház'!E86+'14 Könyvt'!E86</f>
        <v>0</v>
      </c>
      <c r="E104" s="235">
        <f t="shared" si="31"/>
        <v>944000</v>
      </c>
      <c r="F104" s="13">
        <f>+'7 Önk'!G86+'8 PH'!G86+'9 VGIG'!G86+'10 Járób'!G86+'11 Szoci'!G86+'12 Ovi'!G86+'13 Művház'!G86+'14 Könyvt'!G86</f>
        <v>5161000</v>
      </c>
      <c r="G104" s="13">
        <f>+'7 Önk'!H86+'8 PH'!H86+'9 VGIG'!H86+'10 Járób'!H86+'11 Szoci'!H86+'12 Ovi'!H86+'13 Művház'!H86+'14 Könyvt'!H86</f>
        <v>0</v>
      </c>
      <c r="H104" s="431">
        <f t="shared" si="32"/>
        <v>5161000</v>
      </c>
    </row>
    <row r="105" spans="1:8" x14ac:dyDescent="0.25">
      <c r="A105" s="54" t="s">
        <v>224</v>
      </c>
      <c r="B105" s="52" t="s">
        <v>225</v>
      </c>
      <c r="C105" s="234">
        <f>+'7 Önk'!D87+'8 PH'!D87+'9 VGIG'!D87+'10 Járób'!D87+'11 Szoci'!D87+'12 Ovi'!D87+'13 Művház'!D87+'14 Könyvt'!D87</f>
        <v>180174516</v>
      </c>
      <c r="D105" s="234">
        <f>+'7 Önk'!E87+'8 PH'!E87+'9 VGIG'!E87+'10 Járób'!E87+'11 Szoci'!E87+'12 Ovi'!E87+'13 Művház'!E87+'14 Könyvt'!E87</f>
        <v>0</v>
      </c>
      <c r="E105" s="235">
        <f t="shared" si="31"/>
        <v>180174516</v>
      </c>
      <c r="F105" s="13">
        <f>+'7 Önk'!G87+'8 PH'!G87+'9 VGIG'!G87+'10 Járób'!G87+'11 Szoci'!G87+'12 Ovi'!G87+'13 Művház'!G87+'14 Könyvt'!G87</f>
        <v>180174516</v>
      </c>
      <c r="G105" s="13">
        <f>+'7 Önk'!H87+'8 PH'!H87+'9 VGIG'!H87+'10 Járób'!H87+'11 Szoci'!H87+'12 Ovi'!H87+'13 Művház'!H87+'14 Könyvt'!H87</f>
        <v>0</v>
      </c>
      <c r="H105" s="431">
        <f t="shared" si="32"/>
        <v>180174516</v>
      </c>
    </row>
    <row r="106" spans="1:8" x14ac:dyDescent="0.25">
      <c r="A106" s="54" t="s">
        <v>226</v>
      </c>
      <c r="B106" s="52" t="s">
        <v>227</v>
      </c>
      <c r="C106" s="234">
        <f>+'7 Önk'!D88+'8 PH'!D88+'9 VGIG'!D88+'10 Járób'!D88+'11 Szoci'!D88+'12 Ovi'!D88+'13 Művház'!D88+'14 Könyvt'!D88</f>
        <v>20901144</v>
      </c>
      <c r="D106" s="234">
        <f>+'7 Önk'!E88+'8 PH'!E88+'9 VGIG'!E88+'10 Járób'!E88+'11 Szoci'!E88+'12 Ovi'!E88+'13 Művház'!E88+'14 Könyvt'!E88</f>
        <v>29785811</v>
      </c>
      <c r="E106" s="235">
        <f t="shared" si="31"/>
        <v>50686955</v>
      </c>
      <c r="F106" s="13">
        <f>+'7 Önk'!G88+'8 PH'!G88+'9 VGIG'!G88+'10 Járób'!G88+'11 Szoci'!G88+'12 Ovi'!G88+'13 Művház'!G88+'14 Könyvt'!G88</f>
        <v>20901144</v>
      </c>
      <c r="G106" s="13">
        <f>+'7 Önk'!H88+'8 PH'!H88+'9 VGIG'!H88+'10 Járób'!H88+'11 Szoci'!H88+'12 Ovi'!H88+'13 Művház'!H88+'14 Könyvt'!H88</f>
        <v>29785811</v>
      </c>
      <c r="H106" s="431">
        <f t="shared" si="32"/>
        <v>50686955</v>
      </c>
    </row>
    <row r="107" spans="1:8" x14ac:dyDescent="0.25">
      <c r="A107" s="54" t="s">
        <v>228</v>
      </c>
      <c r="B107" s="52" t="s">
        <v>229</v>
      </c>
      <c r="C107" s="234">
        <f>+'7 Önk'!D89+'8 PH'!D89+'9 VGIG'!D89+'10 Járób'!D89+'11 Szoci'!D89+'12 Ovi'!D89+'13 Művház'!D89+'14 Könyvt'!D89</f>
        <v>0</v>
      </c>
      <c r="D107" s="234">
        <f>+'7 Önk'!E89+'8 PH'!E89+'9 VGIG'!E89+'10 Járób'!E89+'11 Szoci'!E89+'12 Ovi'!E89+'13 Művház'!E89+'14 Könyvt'!E89</f>
        <v>0</v>
      </c>
      <c r="E107" s="235">
        <f t="shared" si="31"/>
        <v>0</v>
      </c>
      <c r="F107" s="13">
        <f>+'7 Önk'!G89+'8 PH'!G89+'9 VGIG'!G89+'10 Járób'!G89+'11 Szoci'!G89+'12 Ovi'!G89+'13 Művház'!G89+'14 Könyvt'!G89</f>
        <v>0</v>
      </c>
      <c r="G107" s="13">
        <f>+'7 Önk'!H89+'8 PH'!H89+'9 VGIG'!H89+'10 Járób'!H89+'11 Szoci'!H89+'12 Ovi'!H89+'13 Művház'!H89+'14 Könyvt'!H89</f>
        <v>0</v>
      </c>
      <c r="H107" s="431">
        <f t="shared" si="32"/>
        <v>0</v>
      </c>
    </row>
    <row r="108" spans="1:8" x14ac:dyDescent="0.25">
      <c r="A108" s="54" t="s">
        <v>230</v>
      </c>
      <c r="B108" s="52" t="s">
        <v>231</v>
      </c>
      <c r="C108" s="234">
        <f>+'7 Önk'!D90+'8 PH'!D90+'9 VGIG'!D90+'10 Járób'!D90+'11 Szoci'!D90+'12 Ovi'!D90+'13 Művház'!D90+'14 Könyvt'!D90</f>
        <v>0</v>
      </c>
      <c r="D108" s="234">
        <f>+'7 Önk'!E90+'8 PH'!E90+'9 VGIG'!E90+'10 Járób'!E90+'11 Szoci'!E90+'12 Ovi'!E90+'13 Művház'!E90+'14 Könyvt'!E90</f>
        <v>1000</v>
      </c>
      <c r="E108" s="235">
        <f t="shared" si="31"/>
        <v>1000</v>
      </c>
      <c r="F108" s="13">
        <f>+'7 Önk'!G90+'8 PH'!G90+'9 VGIG'!G90+'10 Járób'!G90+'11 Szoci'!G90+'12 Ovi'!G90+'13 Művház'!G90+'14 Könyvt'!G90</f>
        <v>0</v>
      </c>
      <c r="G108" s="13">
        <f>+'7 Önk'!H90+'8 PH'!H90+'9 VGIG'!H90+'10 Járób'!H90+'11 Szoci'!H90+'12 Ovi'!H90+'13 Művház'!H90+'14 Könyvt'!H90</f>
        <v>999</v>
      </c>
      <c r="H108" s="431">
        <f t="shared" si="32"/>
        <v>999</v>
      </c>
    </row>
    <row r="109" spans="1:8" x14ac:dyDescent="0.25">
      <c r="A109" s="54" t="s">
        <v>232</v>
      </c>
      <c r="B109" s="52" t="s">
        <v>233</v>
      </c>
      <c r="C109" s="234">
        <f>+'7 Önk'!D91+'8 PH'!D91+'9 VGIG'!D91+'10 Járób'!D91+'11 Szoci'!D91+'12 Ovi'!D91+'13 Művház'!D91+'14 Könyvt'!D91</f>
        <v>0</v>
      </c>
      <c r="D109" s="234">
        <f>+'7 Önk'!E91+'8 PH'!E91+'9 VGIG'!E91+'10 Járób'!E91+'11 Szoci'!E91+'12 Ovi'!E91+'13 Művház'!E91+'14 Könyvt'!E91</f>
        <v>10000</v>
      </c>
      <c r="E109" s="235">
        <f t="shared" si="31"/>
        <v>10000</v>
      </c>
      <c r="F109" s="13">
        <f>+'7 Önk'!G91+'8 PH'!G91+'9 VGIG'!G91+'10 Járób'!G91+'11 Szoci'!G91+'12 Ovi'!G91+'13 Művház'!G91+'14 Könyvt'!G91</f>
        <v>0</v>
      </c>
      <c r="G109" s="13">
        <f>+'7 Önk'!H91+'8 PH'!H91+'9 VGIG'!H91+'10 Járób'!H91+'11 Szoci'!H91+'12 Ovi'!H91+'13 Művház'!H91+'14 Könyvt'!H91</f>
        <v>10000</v>
      </c>
      <c r="H109" s="431">
        <f t="shared" si="32"/>
        <v>10000</v>
      </c>
    </row>
    <row r="110" spans="1:8" x14ac:dyDescent="0.25">
      <c r="A110" s="54" t="s">
        <v>234</v>
      </c>
      <c r="B110" s="52" t="s">
        <v>235</v>
      </c>
      <c r="C110" s="234">
        <f>+'7 Önk'!D92+'8 PH'!D92+'9 VGIG'!D92+'10 Járób'!D92+'11 Szoci'!D92+'12 Ovi'!D92+'13 Művház'!D92+'14 Könyvt'!D92</f>
        <v>0</v>
      </c>
      <c r="D110" s="234">
        <f>+'7 Önk'!E92+'8 PH'!E92+'9 VGIG'!E92+'10 Járób'!E92+'11 Szoci'!E92+'12 Ovi'!E92+'13 Művház'!E92+'14 Könyvt'!E92</f>
        <v>0</v>
      </c>
      <c r="E110" s="235">
        <f t="shared" si="31"/>
        <v>0</v>
      </c>
      <c r="F110" s="13">
        <f>+'7 Önk'!G92+'8 PH'!G92+'9 VGIG'!G92+'10 Járób'!G92+'11 Szoci'!G92+'12 Ovi'!G92+'13 Művház'!G92+'14 Könyvt'!G92</f>
        <v>0</v>
      </c>
      <c r="G110" s="13">
        <f>+'7 Önk'!H92+'8 PH'!H92+'9 VGIG'!H92+'10 Járób'!H92+'11 Szoci'!H92+'12 Ovi'!H92+'13 Művház'!H92+'14 Könyvt'!H92</f>
        <v>0</v>
      </c>
      <c r="H110" s="431">
        <f t="shared" si="32"/>
        <v>0</v>
      </c>
    </row>
    <row r="111" spans="1:8" x14ac:dyDescent="0.25">
      <c r="A111" s="54" t="s">
        <v>236</v>
      </c>
      <c r="B111" s="52" t="s">
        <v>237</v>
      </c>
      <c r="C111" s="234">
        <f>+'7 Önk'!D93+'8 PH'!D93+'9 VGIG'!D93+'10 Járób'!D93+'11 Szoci'!D93+'12 Ovi'!D93+'13 Művház'!D93+'14 Könyvt'!D93</f>
        <v>0</v>
      </c>
      <c r="D111" s="234">
        <f>+'7 Önk'!E93+'8 PH'!E93+'9 VGIG'!E93+'10 Járób'!E93+'11 Szoci'!E93+'12 Ovi'!E93+'13 Művház'!E93+'14 Könyvt'!E93</f>
        <v>0</v>
      </c>
      <c r="E111" s="235">
        <f t="shared" si="31"/>
        <v>0</v>
      </c>
      <c r="F111" s="13">
        <f>+'7 Önk'!G93+'8 PH'!G93+'9 VGIG'!G93+'10 Járób'!G93+'11 Szoci'!G93+'12 Ovi'!G93+'13 Művház'!G93+'14 Könyvt'!G93</f>
        <v>0</v>
      </c>
      <c r="G111" s="13">
        <f>+'7 Önk'!H93+'8 PH'!H93+'9 VGIG'!H93+'10 Járób'!H93+'11 Szoci'!H93+'12 Ovi'!H93+'13 Művház'!H93+'14 Könyvt'!H93</f>
        <v>1</v>
      </c>
      <c r="H111" s="431">
        <f t="shared" si="32"/>
        <v>1</v>
      </c>
    </row>
    <row r="112" spans="1:8" x14ac:dyDescent="0.25">
      <c r="A112" s="45" t="s">
        <v>238</v>
      </c>
      <c r="B112" s="53" t="s">
        <v>239</v>
      </c>
      <c r="C112" s="235">
        <f t="shared" ref="C112:H112" si="33">SUM(C101:C111)</f>
        <v>275201867</v>
      </c>
      <c r="D112" s="235">
        <f t="shared" si="33"/>
        <v>246052864</v>
      </c>
      <c r="E112" s="235">
        <f t="shared" si="33"/>
        <v>521254731</v>
      </c>
      <c r="F112" s="14">
        <f t="shared" si="33"/>
        <v>276451867</v>
      </c>
      <c r="G112" s="14">
        <f t="shared" si="33"/>
        <v>246052864</v>
      </c>
      <c r="H112" s="431">
        <f t="shared" si="33"/>
        <v>522504731</v>
      </c>
    </row>
    <row r="113" spans="1:8" x14ac:dyDescent="0.25">
      <c r="A113" s="54" t="s">
        <v>240</v>
      </c>
      <c r="B113" s="52" t="s">
        <v>241</v>
      </c>
      <c r="C113" s="234">
        <f>+'7 Önk'!D95+'8 PH'!D95+'9 VGIG'!D95+'10 Járób'!D95+'11 Szoci'!D95+'12 Ovi'!D95+'13 Művház'!D95+'14 Könyvt'!D95+'4 Átvett és Felh bev'!E70</f>
        <v>0</v>
      </c>
      <c r="D113" s="234">
        <f>+'7 Önk'!E95+'8 PH'!E95+'9 VGIG'!E95+'10 Járób'!E95+'11 Szoci'!E95+'12 Ovi'!E95+'13 Művház'!E95+'14 Könyvt'!E95+'4 Átvett és Felh bev'!F70</f>
        <v>0</v>
      </c>
      <c r="E113" s="235">
        <f>+D113+C113</f>
        <v>0</v>
      </c>
      <c r="F113" s="13">
        <f>+'7 Önk'!G95+'8 PH'!G95+'9 VGIG'!G95+'10 Járób'!G95+'11 Szoci'!G95+'12 Ovi'!G95+'13 Művház'!G95+'14 Könyvt'!G95+'4 Átvett és Felh bev'!F70</f>
        <v>0</v>
      </c>
      <c r="G113" s="13">
        <f>+'7 Önk'!H95+'8 PH'!H95+'9 VGIG'!H95+'10 Járób'!H95+'11 Szoci'!H95+'12 Ovi'!H95+'13 Művház'!H95+'14 Könyvt'!H95+'4 Átvett és Felh bev'!G70</f>
        <v>0</v>
      </c>
      <c r="H113" s="431">
        <f>+G113+F113</f>
        <v>0</v>
      </c>
    </row>
    <row r="114" spans="1:8" x14ac:dyDescent="0.25">
      <c r="A114" s="54" t="s">
        <v>242</v>
      </c>
      <c r="B114" s="52" t="s">
        <v>243</v>
      </c>
      <c r="C114" s="234">
        <f>+'7 Önk'!D96+'8 PH'!D96+'9 VGIG'!D96+'10 Járób'!D96+'11 Szoci'!D96+'12 Ovi'!D96+'13 Művház'!D96+'14 Könyvt'!D96+'4 Átvett és Felh bev'!D76</f>
        <v>64000000</v>
      </c>
      <c r="D114" s="234">
        <f>+'7 Önk'!E96+'8 PH'!E96+'9 VGIG'!E96+'10 Járób'!E96+'11 Szoci'!E96+'12 Ovi'!E96+'13 Művház'!E96+'14 Könyvt'!E96+'4 Átvett és Felh bev'!E76</f>
        <v>0</v>
      </c>
      <c r="E114" s="235">
        <f>+D114+C114</f>
        <v>64000000</v>
      </c>
      <c r="F114" s="13">
        <f>+'7 Önk'!G96+'8 PH'!G96+'9 VGIG'!G96+'10 Járób'!G96+'11 Szoci'!G96+'12 Ovi'!G96+'13 Művház'!G96+'14 Könyvt'!G96+'4 Átvett és Felh bev'!F76</f>
        <v>64000000</v>
      </c>
      <c r="G114" s="13">
        <f>+'7 Önk'!H96+'8 PH'!H96+'9 VGIG'!H96+'10 Járób'!H96+'11 Szoci'!H96+'12 Ovi'!H96+'13 Művház'!H96+'14 Könyvt'!H96+'4 Átvett és Felh bev'!G76</f>
        <v>0</v>
      </c>
      <c r="H114" s="431">
        <f>+G114+F114</f>
        <v>64000000</v>
      </c>
    </row>
    <row r="115" spans="1:8" x14ac:dyDescent="0.25">
      <c r="A115" s="54" t="s">
        <v>244</v>
      </c>
      <c r="B115" s="52" t="s">
        <v>245</v>
      </c>
      <c r="C115" s="234">
        <f>+'7 Önk'!D97+'8 PH'!D97+'9 VGIG'!D97+'10 Járób'!D97+'11 Szoci'!D97+'12 Ovi'!D97+'13 Művház'!D97+'14 Könyvt'!D97+'4 Átvett és Felh bev'!D79</f>
        <v>1700000</v>
      </c>
      <c r="D115" s="234">
        <f>+'7 Önk'!E97+'8 PH'!E97+'9 VGIG'!E97+'10 Járób'!E97+'11 Szoci'!E97+'12 Ovi'!E97+'13 Művház'!E97+'14 Könyvt'!E97+'4 Átvett és Felh bev'!E79</f>
        <v>0</v>
      </c>
      <c r="E115" s="235">
        <f>+D115+C115</f>
        <v>1700000</v>
      </c>
      <c r="F115" s="13">
        <f>+'7 Önk'!G97+'8 PH'!G97+'9 VGIG'!G97+'10 Járób'!G97+'11 Szoci'!G97+'12 Ovi'!G97+'13 Művház'!G97+'14 Könyvt'!G97+'4 Átvett és Felh bev'!F79</f>
        <v>1700000</v>
      </c>
      <c r="G115" s="13">
        <f>+'7 Önk'!H97+'8 PH'!H97+'9 VGIG'!H97+'10 Járób'!H97+'11 Szoci'!H97+'12 Ovi'!H97+'13 Művház'!H97+'14 Könyvt'!H97+'4 Átvett és Felh bev'!G79</f>
        <v>0</v>
      </c>
      <c r="H115" s="431">
        <f>+G115+F115</f>
        <v>1700000</v>
      </c>
    </row>
    <row r="116" spans="1:8" x14ac:dyDescent="0.25">
      <c r="A116" s="54" t="s">
        <v>246</v>
      </c>
      <c r="B116" s="52" t="s">
        <v>247</v>
      </c>
      <c r="C116" s="234">
        <f>+'7 Önk'!D98+'8 PH'!D98+'9 VGIG'!D98+'10 Járób'!D98+'11 Szoci'!D98+'12 Ovi'!D98+'13 Művház'!D98+'14 Könyvt'!D98+'4 Átvett és Felh bev'!D82</f>
        <v>0</v>
      </c>
      <c r="D116" s="234">
        <f>+'7 Önk'!E98+'8 PH'!E98+'9 VGIG'!E98+'10 Járób'!E98+'11 Szoci'!E98+'12 Ovi'!E98+'13 Művház'!E98+'14 Könyvt'!E98+'4 Átvett és Felh bev'!E82</f>
        <v>0</v>
      </c>
      <c r="E116" s="235">
        <f>+D116+C116</f>
        <v>0</v>
      </c>
      <c r="F116" s="13">
        <f>+'7 Önk'!G98+'8 PH'!G98+'9 VGIG'!G98+'10 Járób'!G98+'11 Szoci'!G98+'12 Ovi'!G98+'13 Művház'!G98+'14 Könyvt'!G98+'4 Átvett és Felh bev'!F82</f>
        <v>0</v>
      </c>
      <c r="G116" s="13">
        <f>+'7 Önk'!H98+'8 PH'!H98+'9 VGIG'!H98+'10 Járób'!H98+'11 Szoci'!H98+'12 Ovi'!H98+'13 Művház'!H98+'14 Könyvt'!H98+'4 Átvett és Felh bev'!G82</f>
        <v>0</v>
      </c>
      <c r="H116" s="431">
        <f>+G116+F116</f>
        <v>0</v>
      </c>
    </row>
    <row r="117" spans="1:8" x14ac:dyDescent="0.25">
      <c r="A117" s="54" t="s">
        <v>248</v>
      </c>
      <c r="B117" s="52" t="s">
        <v>249</v>
      </c>
      <c r="C117" s="234">
        <f>+'7 Önk'!D99+'8 PH'!D99+'9 VGIG'!D99+'10 Járób'!D99+'11 Szoci'!D99+'12 Ovi'!D99+'13 Művház'!D99+'14 Könyvt'!D99+'4 Átvett és Felh bev'!D85</f>
        <v>0</v>
      </c>
      <c r="D117" s="234">
        <f>+'7 Önk'!E99+'8 PH'!E99+'9 VGIG'!E99+'10 Járób'!E99+'11 Szoci'!E99+'12 Ovi'!E99+'13 Művház'!E99+'14 Könyvt'!E99+'4 Átvett és Felh bev'!E85</f>
        <v>0</v>
      </c>
      <c r="E117" s="235">
        <f>+D117+C117</f>
        <v>0</v>
      </c>
      <c r="F117" s="13">
        <f>+'7 Önk'!G99+'8 PH'!G99+'9 VGIG'!G99+'10 Járób'!G99+'11 Szoci'!G99+'12 Ovi'!G99+'13 Művház'!G99+'14 Könyvt'!G99+'4 Átvett és Felh bev'!F85</f>
        <v>0</v>
      </c>
      <c r="G117" s="13">
        <f>+'7 Önk'!H99+'8 PH'!H99+'9 VGIG'!H99+'10 Járób'!H99+'11 Szoci'!H99+'12 Ovi'!H99+'13 Művház'!H99+'14 Könyvt'!H99+'4 Átvett és Felh bev'!G85</f>
        <v>0</v>
      </c>
      <c r="H117" s="431">
        <f>+G117+F117</f>
        <v>0</v>
      </c>
    </row>
    <row r="118" spans="1:8" x14ac:dyDescent="0.25">
      <c r="A118" s="44" t="s">
        <v>250</v>
      </c>
      <c r="B118" s="53" t="s">
        <v>251</v>
      </c>
      <c r="C118" s="235">
        <f t="shared" ref="C118:H118" si="34">SUM(C113:C117)</f>
        <v>65700000</v>
      </c>
      <c r="D118" s="235">
        <f t="shared" si="34"/>
        <v>0</v>
      </c>
      <c r="E118" s="235">
        <f t="shared" si="34"/>
        <v>65700000</v>
      </c>
      <c r="F118" s="14">
        <f t="shared" si="34"/>
        <v>65700000</v>
      </c>
      <c r="G118" s="14">
        <f t="shared" si="34"/>
        <v>0</v>
      </c>
      <c r="H118" s="431">
        <f t="shared" si="34"/>
        <v>65700000</v>
      </c>
    </row>
    <row r="119" spans="1:8" x14ac:dyDescent="0.25">
      <c r="A119" s="44" t="s">
        <v>252</v>
      </c>
      <c r="B119" s="53" t="s">
        <v>253</v>
      </c>
      <c r="C119" s="234">
        <f>+'7 Önk'!D101+'8 PH'!D101+'9 VGIG'!D101+'10 Járób'!D101+'11 Szoci'!D101+'12 Ovi'!D101+'13 Művház'!D101+'14 Könyvt'!D101</f>
        <v>5434500</v>
      </c>
      <c r="D119" s="234">
        <f>+'7 Önk'!E101+'8 PH'!E101+'9 VGIG'!E101+'10 Járób'!E101+'11 Szoci'!E101+'12 Ovi'!E101+'13 Művház'!E101+'14 Könyvt'!E101</f>
        <v>0</v>
      </c>
      <c r="E119" s="235">
        <f t="shared" ref="E119:E124" si="35">+D119+C119</f>
        <v>5434500</v>
      </c>
      <c r="F119" s="13">
        <f>+'7 Önk'!G101+'8 PH'!G101+'9 VGIG'!G101+'10 Járób'!G101+'11 Szoci'!G101+'12 Ovi'!G101+'13 Művház'!G101+'14 Könyvt'!G101</f>
        <v>6774565</v>
      </c>
      <c r="G119" s="13">
        <f>+'7 Önk'!H101+'8 PH'!H101+'9 VGIG'!H101+'10 Járób'!H101+'11 Szoci'!H101+'12 Ovi'!H101+'13 Művház'!H101+'14 Könyvt'!H101</f>
        <v>0</v>
      </c>
      <c r="H119" s="431">
        <f t="shared" ref="H119:H124" si="36">+G119+F119</f>
        <v>6774565</v>
      </c>
    </row>
    <row r="120" spans="1:8" x14ac:dyDescent="0.25">
      <c r="A120" s="54" t="s">
        <v>254</v>
      </c>
      <c r="B120" s="52" t="s">
        <v>255</v>
      </c>
      <c r="C120" s="234">
        <f>+'7 Önk'!D102+'8 PH'!D102+'9 VGIG'!D102+'10 Járób'!D102+'11 Szoci'!D102+'12 Ovi'!D102+'13 Művház'!D102+'14 Könyvt'!D102</f>
        <v>0</v>
      </c>
      <c r="D120" s="234">
        <f>+'7 Önk'!E102+'8 PH'!E102+'9 VGIG'!E102+'10 Járób'!E102+'11 Szoci'!E102+'12 Ovi'!E102+'13 Művház'!E102+'14 Könyvt'!E102</f>
        <v>0</v>
      </c>
      <c r="E120" s="235">
        <f t="shared" si="35"/>
        <v>0</v>
      </c>
      <c r="F120" s="13">
        <f>+'7 Önk'!G102+'8 PH'!G102+'9 VGIG'!G102+'10 Járób'!G102+'11 Szoci'!G102+'12 Ovi'!G102+'13 Művház'!G102+'14 Könyvt'!G102</f>
        <v>0</v>
      </c>
      <c r="G120" s="13">
        <f>+'7 Önk'!H102+'8 PH'!H102+'9 VGIG'!H102+'10 Járób'!H102+'11 Szoci'!H102+'12 Ovi'!H102+'13 Művház'!H102+'14 Könyvt'!H102</f>
        <v>0</v>
      </c>
      <c r="H120" s="431">
        <f t="shared" si="36"/>
        <v>0</v>
      </c>
    </row>
    <row r="121" spans="1:8" ht="31.5" x14ac:dyDescent="0.25">
      <c r="A121" s="41" t="s">
        <v>256</v>
      </c>
      <c r="B121" s="52" t="s">
        <v>257</v>
      </c>
      <c r="C121" s="234">
        <f>+'7 Önk'!D103+'8 PH'!D103+'9 VGIG'!D103+'10 Járób'!D103+'11 Szoci'!D103+'12 Ovi'!D103+'13 Művház'!D103+'14 Könyvt'!D103</f>
        <v>0</v>
      </c>
      <c r="D121" s="234">
        <f>+'7 Önk'!E103+'8 PH'!E103+'9 VGIG'!E103+'10 Járób'!E103+'11 Szoci'!E103+'12 Ovi'!E103+'13 Művház'!E103+'14 Könyvt'!E103</f>
        <v>0</v>
      </c>
      <c r="E121" s="235">
        <f t="shared" si="35"/>
        <v>0</v>
      </c>
      <c r="F121" s="13">
        <f>+'7 Önk'!G103+'8 PH'!G103+'9 VGIG'!G103+'10 Járób'!G103+'11 Szoci'!G103+'12 Ovi'!G103+'13 Művház'!G103+'14 Könyvt'!G103</f>
        <v>0</v>
      </c>
      <c r="G121" s="13">
        <f>+'7 Önk'!H103+'8 PH'!H103+'9 VGIG'!H103+'10 Járób'!H103+'11 Szoci'!H103+'12 Ovi'!H103+'13 Művház'!H103+'14 Könyvt'!H103</f>
        <v>0</v>
      </c>
      <c r="H121" s="431">
        <f t="shared" si="36"/>
        <v>0</v>
      </c>
    </row>
    <row r="122" spans="1:8" ht="31.5" x14ac:dyDescent="0.25">
      <c r="A122" s="54" t="s">
        <v>258</v>
      </c>
      <c r="B122" s="52" t="s">
        <v>259</v>
      </c>
      <c r="C122" s="234">
        <f>+'7 Önk'!D104+'8 PH'!D104+'9 VGIG'!D104+'10 Járób'!D104+'11 Szoci'!D104+'12 Ovi'!D104+'13 Művház'!D104+'14 Könyvt'!D104</f>
        <v>0</v>
      </c>
      <c r="D122" s="234">
        <f>+'7 Önk'!E104+'8 PH'!E104+'9 VGIG'!E104+'10 Járób'!E104+'11 Szoci'!E104+'12 Ovi'!E104+'13 Művház'!E104+'14 Könyvt'!E104</f>
        <v>0</v>
      </c>
      <c r="E122" s="235">
        <f t="shared" si="35"/>
        <v>0</v>
      </c>
      <c r="F122" s="13">
        <f>+'7 Önk'!G104+'8 PH'!G104+'9 VGIG'!G104+'10 Járób'!G104+'11 Szoci'!G104+'12 Ovi'!G104+'13 Művház'!G104+'14 Könyvt'!G104</f>
        <v>0</v>
      </c>
      <c r="G122" s="13">
        <f>+'7 Önk'!H104+'8 PH'!H104+'9 VGIG'!H104+'10 Járób'!H104+'11 Szoci'!H104+'12 Ovi'!H104+'13 Művház'!H104+'14 Könyvt'!H104</f>
        <v>0</v>
      </c>
      <c r="H122" s="431">
        <f t="shared" si="36"/>
        <v>0</v>
      </c>
    </row>
    <row r="123" spans="1:8" x14ac:dyDescent="0.25">
      <c r="A123" s="54" t="s">
        <v>260</v>
      </c>
      <c r="B123" s="52" t="s">
        <v>261</v>
      </c>
      <c r="C123" s="234">
        <f>+'7 Önk'!D105+'8 PH'!D105+'9 VGIG'!D105+'10 Járób'!D105+'11 Szoci'!D105+'12 Ovi'!D105+'13 Művház'!D105+'14 Könyvt'!D105</f>
        <v>0</v>
      </c>
      <c r="D123" s="234">
        <f>+'7 Önk'!E105+'8 PH'!E105+'9 VGIG'!E105+'10 Járób'!E105+'11 Szoci'!E105+'12 Ovi'!E105+'13 Művház'!E105+'14 Könyvt'!E105</f>
        <v>0</v>
      </c>
      <c r="E123" s="235">
        <f t="shared" si="35"/>
        <v>0</v>
      </c>
      <c r="F123" s="13">
        <f>+'7 Önk'!G105+'8 PH'!G105+'9 VGIG'!G105+'10 Járób'!G105+'11 Szoci'!G105+'12 Ovi'!G105+'13 Művház'!G105+'14 Könyvt'!G105</f>
        <v>0</v>
      </c>
      <c r="G123" s="13">
        <f>+'7 Önk'!H105+'8 PH'!H105+'9 VGIG'!H105+'10 Járób'!H105+'11 Szoci'!H105+'12 Ovi'!H105+'13 Művház'!H105+'14 Könyvt'!H105</f>
        <v>0</v>
      </c>
      <c r="H123" s="431">
        <f t="shared" si="36"/>
        <v>0</v>
      </c>
    </row>
    <row r="124" spans="1:8" x14ac:dyDescent="0.25">
      <c r="A124" s="54" t="s">
        <v>262</v>
      </c>
      <c r="B124" s="52" t="s">
        <v>263</v>
      </c>
      <c r="C124" s="234">
        <f>+'7 Önk'!D106+'8 PH'!D106+'9 VGIG'!D106+'10 Járób'!D106+'11 Szoci'!D106+'12 Ovi'!D106+'13 Művház'!D106+'14 Könyvt'!D106</f>
        <v>29400000</v>
      </c>
      <c r="D124" s="234">
        <f>+'7 Önk'!E106+'8 PH'!E106+'9 VGIG'!E106+'10 Járób'!E106+'11 Szoci'!E106+'12 Ovi'!E106+'13 Művház'!E106+'14 Könyvt'!E106+'4 Átvett és Felh bev'!F63</f>
        <v>0</v>
      </c>
      <c r="E124" s="235">
        <f t="shared" si="35"/>
        <v>29400000</v>
      </c>
      <c r="F124" s="13">
        <f>+'7 Önk'!G106+'8 PH'!G106+'9 VGIG'!G106+'10 Járób'!G106+'11 Szoci'!G106+'12 Ovi'!G106+'13 Művház'!G106+'14 Könyvt'!G106</f>
        <v>29400000</v>
      </c>
      <c r="G124" s="13">
        <f>+'7 Önk'!H106+'8 PH'!H106+'9 VGIG'!H106+'10 Járób'!H106+'11 Szoci'!H106+'12 Ovi'!H106+'13 Művház'!H106+'14 Könyvt'!H106</f>
        <v>0</v>
      </c>
      <c r="H124" s="431">
        <f t="shared" si="36"/>
        <v>29400000</v>
      </c>
    </row>
    <row r="125" spans="1:8" x14ac:dyDescent="0.25">
      <c r="A125" s="44" t="s">
        <v>264</v>
      </c>
      <c r="B125" s="53" t="s">
        <v>265</v>
      </c>
      <c r="C125" s="235">
        <f t="shared" ref="C125:H125" si="37">SUM(C120:C124)</f>
        <v>29400000</v>
      </c>
      <c r="D125" s="235">
        <f t="shared" si="37"/>
        <v>0</v>
      </c>
      <c r="E125" s="235">
        <f t="shared" si="37"/>
        <v>29400000</v>
      </c>
      <c r="F125" s="14">
        <f t="shared" si="37"/>
        <v>29400000</v>
      </c>
      <c r="G125" s="14">
        <f t="shared" si="37"/>
        <v>0</v>
      </c>
      <c r="H125" s="431">
        <f t="shared" si="37"/>
        <v>29400000</v>
      </c>
    </row>
    <row r="126" spans="1:8" x14ac:dyDescent="0.25">
      <c r="A126" s="66" t="s">
        <v>266</v>
      </c>
      <c r="B126" s="55" t="s">
        <v>267</v>
      </c>
      <c r="C126" s="237">
        <f t="shared" ref="C126:H126" si="38">+C125+C119+C118+C112+C100+C93+C92</f>
        <v>2870919956</v>
      </c>
      <c r="D126" s="237">
        <f t="shared" si="38"/>
        <v>1613719079</v>
      </c>
      <c r="E126" s="237">
        <f t="shared" si="38"/>
        <v>4484639035</v>
      </c>
      <c r="F126" s="57">
        <f t="shared" si="38"/>
        <v>2909467845</v>
      </c>
      <c r="G126" s="57">
        <f t="shared" si="38"/>
        <v>1613719079</v>
      </c>
      <c r="H126" s="433">
        <f t="shared" si="38"/>
        <v>4523186924</v>
      </c>
    </row>
    <row r="127" spans="1:8" x14ac:dyDescent="0.25">
      <c r="A127" s="67" t="s">
        <v>268</v>
      </c>
      <c r="B127" s="68"/>
      <c r="C127" s="246">
        <f>+C119+C112+C100+C92-C33</f>
        <v>-123348986</v>
      </c>
      <c r="D127" s="246">
        <f>+D119+D112+D100+D92-D33</f>
        <v>-193095312</v>
      </c>
      <c r="E127" s="246">
        <f>+D127+C127</f>
        <v>-316444298</v>
      </c>
      <c r="F127" s="69">
        <f>+F119+F112+F100+F92-F33</f>
        <v>-140661453</v>
      </c>
      <c r="G127" s="69">
        <f>+G119+G112+G100+G92-G33</f>
        <v>-189582813</v>
      </c>
      <c r="H127" s="470">
        <f>+G127+F127</f>
        <v>-330244266</v>
      </c>
    </row>
    <row r="128" spans="1:8" x14ac:dyDescent="0.25">
      <c r="A128" s="67" t="s">
        <v>269</v>
      </c>
      <c r="B128" s="68"/>
      <c r="C128" s="246">
        <f>+C125+C118+C93-C57</f>
        <v>-1216136241</v>
      </c>
      <c r="D128" s="246">
        <f>+D125+D118+D93-D57</f>
        <v>4396840</v>
      </c>
      <c r="E128" s="246">
        <f>+D128+C128</f>
        <v>-1211739401</v>
      </c>
      <c r="F128" s="69">
        <f>+F125+F118+F93-F57</f>
        <v>-1217803384</v>
      </c>
      <c r="G128" s="69">
        <f>+G125+G118+G93-G57</f>
        <v>-2534060</v>
      </c>
      <c r="H128" s="470">
        <f>+G128+F128</f>
        <v>-1220337444</v>
      </c>
    </row>
    <row r="129" spans="1:8" x14ac:dyDescent="0.25">
      <c r="A129" s="59" t="s">
        <v>270</v>
      </c>
      <c r="B129" s="41" t="s">
        <v>271</v>
      </c>
      <c r="C129" s="234">
        <f>+'17 hitelek'!D55</f>
        <v>0</v>
      </c>
      <c r="D129" s="234">
        <f>+'17 hitelek'!E55</f>
        <v>0</v>
      </c>
      <c r="E129" s="235">
        <f>+D129+C129</f>
        <v>0</v>
      </c>
      <c r="F129" s="13">
        <f>+'17 hitelek'!F55</f>
        <v>0</v>
      </c>
      <c r="G129" s="13">
        <f>+'17 hitelek'!G55</f>
        <v>0</v>
      </c>
      <c r="H129" s="431">
        <f>+G129+F129</f>
        <v>0</v>
      </c>
    </row>
    <row r="130" spans="1:8" ht="31.5" x14ac:dyDescent="0.25">
      <c r="A130" s="54" t="s">
        <v>272</v>
      </c>
      <c r="B130" s="41" t="s">
        <v>273</v>
      </c>
      <c r="C130" s="234">
        <f>+'17 hitelek'!D58</f>
        <v>0</v>
      </c>
      <c r="D130" s="234">
        <f>+'17 hitelek'!E58</f>
        <v>0</v>
      </c>
      <c r="E130" s="235">
        <f>+D130+C130</f>
        <v>0</v>
      </c>
      <c r="F130" s="13">
        <f>+'17 hitelek'!F58</f>
        <v>0</v>
      </c>
      <c r="G130" s="13">
        <f>+'17 hitelek'!G58</f>
        <v>0</v>
      </c>
      <c r="H130" s="431">
        <f>+G130+F130</f>
        <v>0</v>
      </c>
    </row>
    <row r="131" spans="1:8" x14ac:dyDescent="0.25">
      <c r="A131" s="59" t="s">
        <v>274</v>
      </c>
      <c r="B131" s="41" t="s">
        <v>275</v>
      </c>
      <c r="C131" s="234">
        <f>+'17 hitelek'!D60</f>
        <v>88500000</v>
      </c>
      <c r="D131" s="234">
        <f>+'17 hitelek'!E60</f>
        <v>0</v>
      </c>
      <c r="E131" s="235">
        <f>+D131+C131</f>
        <v>88500000</v>
      </c>
      <c r="F131" s="13">
        <f>+'17 hitelek'!F60</f>
        <v>88500000</v>
      </c>
      <c r="G131" s="13">
        <f>+'17 hitelek'!G60</f>
        <v>0</v>
      </c>
      <c r="H131" s="431">
        <f>+G131+F131</f>
        <v>88500000</v>
      </c>
    </row>
    <row r="132" spans="1:8" x14ac:dyDescent="0.25">
      <c r="A132" s="45" t="s">
        <v>276</v>
      </c>
      <c r="B132" s="44" t="s">
        <v>277</v>
      </c>
      <c r="C132" s="235">
        <f t="shared" ref="C132:H132" si="39">SUM(C129:C131)</f>
        <v>88500000</v>
      </c>
      <c r="D132" s="235">
        <f t="shared" si="39"/>
        <v>0</v>
      </c>
      <c r="E132" s="235">
        <f t="shared" si="39"/>
        <v>88500000</v>
      </c>
      <c r="F132" s="14">
        <f t="shared" si="39"/>
        <v>88500000</v>
      </c>
      <c r="G132" s="14">
        <f t="shared" si="39"/>
        <v>0</v>
      </c>
      <c r="H132" s="431">
        <f t="shared" si="39"/>
        <v>88500000</v>
      </c>
    </row>
    <row r="133" spans="1:8" hidden="1" x14ac:dyDescent="0.25">
      <c r="A133" s="54" t="s">
        <v>278</v>
      </c>
      <c r="B133" s="41" t="s">
        <v>279</v>
      </c>
      <c r="C133" s="234"/>
      <c r="D133" s="234"/>
      <c r="E133" s="235">
        <f>+D133+C133</f>
        <v>0</v>
      </c>
      <c r="F133" s="13"/>
      <c r="G133" s="13"/>
      <c r="H133" s="431">
        <f>+G133+F133</f>
        <v>0</v>
      </c>
    </row>
    <row r="134" spans="1:8" hidden="1" x14ac:dyDescent="0.25">
      <c r="A134" s="59" t="s">
        <v>280</v>
      </c>
      <c r="B134" s="41" t="s">
        <v>281</v>
      </c>
      <c r="C134" s="234"/>
      <c r="D134" s="234"/>
      <c r="E134" s="235">
        <f>+D134+C134</f>
        <v>0</v>
      </c>
      <c r="F134" s="13"/>
      <c r="G134" s="13"/>
      <c r="H134" s="431">
        <f>+G134+F134</f>
        <v>0</v>
      </c>
    </row>
    <row r="135" spans="1:8" hidden="1" x14ac:dyDescent="0.25">
      <c r="A135" s="54" t="s">
        <v>282</v>
      </c>
      <c r="B135" s="41" t="s">
        <v>283</v>
      </c>
      <c r="C135" s="234"/>
      <c r="D135" s="234"/>
      <c r="E135" s="235">
        <f>+D135+C135</f>
        <v>0</v>
      </c>
      <c r="F135" s="13"/>
      <c r="G135" s="13"/>
      <c r="H135" s="431">
        <f>+G135+F135</f>
        <v>0</v>
      </c>
    </row>
    <row r="136" spans="1:8" hidden="1" x14ac:dyDescent="0.25">
      <c r="A136" s="59" t="s">
        <v>284</v>
      </c>
      <c r="B136" s="41" t="s">
        <v>285</v>
      </c>
      <c r="C136" s="234"/>
      <c r="D136" s="234"/>
      <c r="E136" s="235">
        <f>+D136+C136</f>
        <v>0</v>
      </c>
      <c r="F136" s="13"/>
      <c r="G136" s="13"/>
      <c r="H136" s="431">
        <f>+G136+F136</f>
        <v>0</v>
      </c>
    </row>
    <row r="137" spans="1:8" x14ac:dyDescent="0.25">
      <c r="A137" s="61" t="s">
        <v>286</v>
      </c>
      <c r="B137" s="44" t="s">
        <v>287</v>
      </c>
      <c r="C137" s="235">
        <f t="shared" ref="C137:H137" si="40">SUM(C133:C136)</f>
        <v>0</v>
      </c>
      <c r="D137" s="235">
        <f t="shared" si="40"/>
        <v>0</v>
      </c>
      <c r="E137" s="235">
        <f t="shared" si="40"/>
        <v>0</v>
      </c>
      <c r="F137" s="14">
        <f t="shared" si="40"/>
        <v>0</v>
      </c>
      <c r="G137" s="14">
        <f t="shared" si="40"/>
        <v>0</v>
      </c>
      <c r="H137" s="431">
        <f t="shared" si="40"/>
        <v>0</v>
      </c>
    </row>
    <row r="138" spans="1:8" x14ac:dyDescent="0.25">
      <c r="A138" s="41" t="s">
        <v>288</v>
      </c>
      <c r="B138" s="41" t="s">
        <v>289</v>
      </c>
      <c r="C138" s="234">
        <f>+'7 Önk'!D113+'8 PH'!D113+'9 VGIG'!D113+'10 Járób'!D113+'11 Szoci'!D113+'12 Ovi'!D113+'13 Művház'!D113+'14 Könyvt'!D113+'19 EU projektek'!D113</f>
        <v>183933215</v>
      </c>
      <c r="D138" s="234">
        <f>+'7 Önk'!E113+'8 PH'!E113+'9 VGIG'!E113+'10 Járób'!E113+'11 Szoci'!E113+'12 Ovi'!E113+'13 Művház'!E113+'14 Könyvt'!E113+'19 EU projektek'!E113</f>
        <v>120862400</v>
      </c>
      <c r="E138" s="235">
        <f>+D138+C138</f>
        <v>304795615</v>
      </c>
      <c r="F138" s="234">
        <f>+'7 Önk'!G113+'8 PH'!G113+'9 VGIG'!G113+'10 Járób'!G113+'11 Szoci'!G113+'12 Ovi'!G113+'13 Művház'!G113+'14 Könyvt'!G113+'19 EU projektek'!G113</f>
        <v>206331226</v>
      </c>
      <c r="G138" s="234">
        <f>+'7 Önk'!H113+'8 PH'!H113+'9 VGIG'!H113+'10 Járób'!H113+'11 Szoci'!H113+'12 Ovi'!H113+'13 Művház'!H113+'14 Könyvt'!H113+'19 EU projektek'!H113</f>
        <v>120862400</v>
      </c>
      <c r="H138" s="431">
        <f>+G138+F138</f>
        <v>327193626</v>
      </c>
    </row>
    <row r="139" spans="1:8" x14ac:dyDescent="0.25">
      <c r="A139" s="41" t="s">
        <v>737</v>
      </c>
      <c r="B139" s="41" t="s">
        <v>289</v>
      </c>
      <c r="C139" s="234">
        <f>+'7 Önk'!D114+'8 PH'!D114+'9 VGIG'!D114+'10 Járób'!D114+'11 Szoci'!D114+'12 Ovi'!D114+'13 Művház'!D114+'14 Könyvt'!D114+'4 Átvett és Felh bev'!D67+'19 EU projektek'!D114</f>
        <v>1196401132</v>
      </c>
      <c r="D139" s="234">
        <f>+'7 Önk'!E114+'8 PH'!E114+'9 VGIG'!E114+'10 Járób'!E114+'11 Szoci'!E114+'12 Ovi'!E114+'13 Művház'!E114+'14 Könyvt'!E114+'4 Átvett és Felh bev'!E67+'19 EU projektek'!E114</f>
        <v>67836072</v>
      </c>
      <c r="E139" s="235">
        <f>+D139+C139</f>
        <v>1264237204</v>
      </c>
      <c r="F139" s="234">
        <f>+'7 Önk'!G114+'8 PH'!G114+'9 VGIG'!G114+'10 Járób'!G114+'11 Szoci'!G114+'12 Ovi'!G114+'13 Művház'!G114+'14 Könyvt'!G114+'4 Átvett és Felh bev'!F67+'19 EU projektek'!G114</f>
        <v>1196401132</v>
      </c>
      <c r="G139" s="234">
        <f>+'7 Önk'!H114+'8 PH'!H114+'9 VGIG'!H114+'10 Járób'!H114+'11 Szoci'!H114+'12 Ovi'!H114+'13 Művház'!H114+'14 Könyvt'!H114+'4 Átvett és Felh bev'!G67+'19 EU projektek'!H114</f>
        <v>67836072</v>
      </c>
      <c r="H139" s="431">
        <f>+G139+F139</f>
        <v>1264237204</v>
      </c>
    </row>
    <row r="140" spans="1:8" hidden="1" x14ac:dyDescent="0.25">
      <c r="A140" s="41" t="s">
        <v>291</v>
      </c>
      <c r="B140" s="41" t="s">
        <v>292</v>
      </c>
      <c r="C140" s="234"/>
      <c r="D140" s="234"/>
      <c r="E140" s="235">
        <f>+D140+C140</f>
        <v>0</v>
      </c>
      <c r="F140" s="13"/>
      <c r="G140" s="13"/>
      <c r="H140" s="431">
        <f>+G140+F140</f>
        <v>0</v>
      </c>
    </row>
    <row r="141" spans="1:8" ht="31.5" hidden="1" x14ac:dyDescent="0.25">
      <c r="A141" s="41" t="s">
        <v>293</v>
      </c>
      <c r="B141" s="41" t="s">
        <v>292</v>
      </c>
      <c r="C141" s="234"/>
      <c r="D141" s="234"/>
      <c r="E141" s="235">
        <f>+D141+C141</f>
        <v>0</v>
      </c>
      <c r="F141" s="13"/>
      <c r="G141" s="13"/>
      <c r="H141" s="431">
        <f>+G141+F141</f>
        <v>0</v>
      </c>
    </row>
    <row r="142" spans="1:8" x14ac:dyDescent="0.25">
      <c r="A142" s="44" t="s">
        <v>294</v>
      </c>
      <c r="B142" s="44" t="s">
        <v>295</v>
      </c>
      <c r="C142" s="235">
        <f t="shared" ref="C142:H142" si="41">SUM(C138:C141)</f>
        <v>1380334347</v>
      </c>
      <c r="D142" s="235">
        <f t="shared" si="41"/>
        <v>188698472</v>
      </c>
      <c r="E142" s="235">
        <f t="shared" si="41"/>
        <v>1569032819</v>
      </c>
      <c r="F142" s="14">
        <f t="shared" si="41"/>
        <v>1402732358</v>
      </c>
      <c r="G142" s="14">
        <f t="shared" si="41"/>
        <v>188698472</v>
      </c>
      <c r="H142" s="431">
        <f t="shared" si="41"/>
        <v>1591430830</v>
      </c>
    </row>
    <row r="143" spans="1:8" x14ac:dyDescent="0.25">
      <c r="A143" s="59" t="s">
        <v>296</v>
      </c>
      <c r="B143" s="41" t="s">
        <v>297</v>
      </c>
      <c r="C143" s="234">
        <f>+'7 Önk'!D118+'8 PH'!D118+'9 VGIG'!D118+'10 Járób'!D118+'11 Szoci'!D118+'12 Ovi'!D118+'13 Művház'!D118+'14 Könyvt'!D118</f>
        <v>0</v>
      </c>
      <c r="D143" s="234">
        <f>+'7 Önk'!E118+'8 PH'!E118+'9 VGIG'!E118+'10 Járób'!E118+'11 Szoci'!E118+'12 Ovi'!E118+'13 Művház'!E118+'14 Könyvt'!E118</f>
        <v>0</v>
      </c>
      <c r="E143" s="235">
        <f>+D143+C143</f>
        <v>0</v>
      </c>
      <c r="F143" s="13">
        <f>+'7 Önk'!G118+'8 PH'!G118+'9 VGIG'!G118+'10 Járób'!G118+'11 Szoci'!G118+'12 Ovi'!G118+'13 Művház'!G118+'14 Könyvt'!G118</f>
        <v>0</v>
      </c>
      <c r="G143" s="13">
        <f>+'7 Önk'!H118+'8 PH'!H118+'9 VGIG'!H118+'10 Járób'!H118+'11 Szoci'!H118+'12 Ovi'!H118+'13 Művház'!H118+'14 Könyvt'!H118</f>
        <v>0</v>
      </c>
      <c r="H143" s="431">
        <f>+G143+F143</f>
        <v>0</v>
      </c>
    </row>
    <row r="144" spans="1:8" x14ac:dyDescent="0.25">
      <c r="A144" s="59" t="s">
        <v>298</v>
      </c>
      <c r="B144" s="41" t="s">
        <v>299</v>
      </c>
      <c r="C144" s="234">
        <f>+'7 Önk'!D119+'8 PH'!D119+'9 VGIG'!D119+'10 Járób'!D119+'11 Szoci'!D119+'12 Ovi'!D119+'13 Művház'!D119+'14 Könyvt'!D119</f>
        <v>0</v>
      </c>
      <c r="D144" s="234">
        <f>+'7 Önk'!E119+'8 PH'!E119+'9 VGIG'!E119+'10 Járób'!E119+'11 Szoci'!E119+'12 Ovi'!E119+'13 Művház'!E119+'14 Könyvt'!E119</f>
        <v>0</v>
      </c>
      <c r="E144" s="235">
        <f>+D144+C144</f>
        <v>0</v>
      </c>
      <c r="F144" s="13">
        <f>+'7 Önk'!G119+'8 PH'!G119+'9 VGIG'!G119+'10 Járób'!G119+'11 Szoci'!G119+'12 Ovi'!G119+'13 Művház'!G119+'14 Könyvt'!G119</f>
        <v>0</v>
      </c>
      <c r="G144" s="13">
        <f>+'7 Önk'!H119+'8 PH'!H119+'9 VGIG'!H119+'10 Járób'!H119+'11 Szoci'!H119+'12 Ovi'!H119+'13 Művház'!H119+'14 Könyvt'!H119</f>
        <v>0</v>
      </c>
      <c r="H144" s="431">
        <f>+G144+F144</f>
        <v>0</v>
      </c>
    </row>
    <row r="145" spans="1:8" x14ac:dyDescent="0.25">
      <c r="A145" s="59" t="s">
        <v>300</v>
      </c>
      <c r="B145" s="41" t="s">
        <v>301</v>
      </c>
      <c r="C145" s="234"/>
      <c r="D145" s="234"/>
      <c r="E145" s="235"/>
      <c r="F145" s="13"/>
      <c r="G145" s="13"/>
      <c r="H145" s="431"/>
    </row>
    <row r="146" spans="1:8" x14ac:dyDescent="0.25">
      <c r="A146" s="59" t="s">
        <v>302</v>
      </c>
      <c r="B146" s="41" t="s">
        <v>303</v>
      </c>
      <c r="C146" s="234">
        <f>+'7 Önk'!D123+'8 PH'!D123+'9 VGIG'!D123+'10 Járób'!D123+'11 Szoci'!D123+'12 Ovi'!D123+'13 Művház'!D123+'14 Könyvt'!D123</f>
        <v>0</v>
      </c>
      <c r="D146" s="234">
        <f>+'7 Önk'!E123+'8 PH'!E123+'9 VGIG'!E123+'10 Járób'!E123+'11 Szoci'!E123+'12 Ovi'!E123+'13 Művház'!E123+'14 Könyvt'!E123</f>
        <v>0</v>
      </c>
      <c r="E146" s="235">
        <f>+D146+C146</f>
        <v>0</v>
      </c>
      <c r="F146" s="13">
        <f>+'7 Önk'!G123+'8 PH'!G123+'9 VGIG'!G123+'10 Járób'!G123+'11 Szoci'!G123+'12 Ovi'!G123+'13 Művház'!G123+'14 Könyvt'!G123</f>
        <v>0</v>
      </c>
      <c r="G146" s="13">
        <f>+'7 Önk'!H123+'8 PH'!H123+'9 VGIG'!H123+'10 Járób'!H123+'11 Szoci'!H123+'12 Ovi'!H123+'13 Művház'!H123+'14 Könyvt'!H123</f>
        <v>0</v>
      </c>
      <c r="H146" s="431">
        <f>+G146+F146</f>
        <v>0</v>
      </c>
    </row>
    <row r="147" spans="1:8" x14ac:dyDescent="0.25">
      <c r="A147" s="54" t="s">
        <v>304</v>
      </c>
      <c r="B147" s="41" t="s">
        <v>305</v>
      </c>
      <c r="C147" s="234">
        <f>+'7 Önk'!D124+'8 PH'!D124+'9 VGIG'!D124+'10 Járób'!D124+'11 Szoci'!D124+'12 Ovi'!D124+'13 Művház'!D124+'14 Könyvt'!D124</f>
        <v>0</v>
      </c>
      <c r="D147" s="234">
        <f>+'7 Önk'!E124+'8 PH'!E124+'9 VGIG'!E124+'10 Járób'!E124+'11 Szoci'!E124+'12 Ovi'!E124+'13 Művház'!E124+'14 Könyvt'!E124</f>
        <v>0</v>
      </c>
      <c r="E147" s="235">
        <f>+D147+C147</f>
        <v>0</v>
      </c>
      <c r="F147" s="13">
        <f>+'7 Önk'!G124+'8 PH'!G124+'9 VGIG'!G124+'10 Járób'!G124+'11 Szoci'!G124+'12 Ovi'!G124+'13 Művház'!G124+'14 Könyvt'!G124</f>
        <v>0</v>
      </c>
      <c r="G147" s="13">
        <f>+'7 Önk'!H124+'8 PH'!H124+'9 VGIG'!H124+'10 Járób'!H124+'11 Szoci'!H124+'12 Ovi'!H124+'13 Művház'!H124+'14 Könyvt'!H124</f>
        <v>0</v>
      </c>
      <c r="H147" s="431">
        <f>+G147+F147</f>
        <v>0</v>
      </c>
    </row>
    <row r="148" spans="1:8" x14ac:dyDescent="0.25">
      <c r="A148" s="54" t="s">
        <v>306</v>
      </c>
      <c r="B148" s="41" t="s">
        <v>307</v>
      </c>
      <c r="C148" s="234">
        <f>+'7 Önk'!D125+'8 PH'!D125+'9 VGIG'!D125+'10 Járób'!D125+'11 Szoci'!D125+'12 Ovi'!D125+'13 Művház'!D125+'14 Könyvt'!D125</f>
        <v>0</v>
      </c>
      <c r="D148" s="234">
        <f>+'7 Önk'!E125+'8 PH'!E125+'9 VGIG'!E125+'10 Járób'!E125+'11 Szoci'!E125+'12 Ovi'!E125+'13 Művház'!E125+'14 Könyvt'!E125</f>
        <v>0</v>
      </c>
      <c r="E148" s="235">
        <f>+D148+C148</f>
        <v>0</v>
      </c>
      <c r="F148" s="13">
        <f>+'7 Önk'!G125+'8 PH'!G125+'9 VGIG'!G125+'10 Járób'!G125+'11 Szoci'!G125+'12 Ovi'!G125+'13 Művház'!G125+'14 Könyvt'!G125</f>
        <v>0</v>
      </c>
      <c r="G148" s="13">
        <f>+'7 Önk'!H125+'8 PH'!H125+'9 VGIG'!H125+'10 Járób'!H125+'11 Szoci'!H125+'12 Ovi'!H125+'13 Művház'!H125+'14 Könyvt'!H125</f>
        <v>0</v>
      </c>
      <c r="H148" s="431">
        <f>+G148+F148</f>
        <v>0</v>
      </c>
    </row>
    <row r="149" spans="1:8" x14ac:dyDescent="0.25">
      <c r="A149" s="45" t="s">
        <v>308</v>
      </c>
      <c r="B149" s="44" t="s">
        <v>309</v>
      </c>
      <c r="C149" s="235">
        <f t="shared" ref="C149:H149" si="42">SUM(C143:C147)+C142+C137+C132</f>
        <v>1468834347</v>
      </c>
      <c r="D149" s="235">
        <f t="shared" si="42"/>
        <v>188698472</v>
      </c>
      <c r="E149" s="235">
        <f t="shared" si="42"/>
        <v>1657532819</v>
      </c>
      <c r="F149" s="14">
        <f t="shared" si="42"/>
        <v>1491232358</v>
      </c>
      <c r="G149" s="14">
        <f t="shared" si="42"/>
        <v>188698472</v>
      </c>
      <c r="H149" s="431">
        <f t="shared" si="42"/>
        <v>1679930830</v>
      </c>
    </row>
    <row r="150" spans="1:8" hidden="1" x14ac:dyDescent="0.25">
      <c r="A150" s="59" t="s">
        <v>310</v>
      </c>
      <c r="B150" s="41" t="s">
        <v>311</v>
      </c>
      <c r="C150" s="234">
        <f>+'7 Önk'!D127+'8 PH'!D127+'9 VGIG'!D127+'10 Járób'!D127+'11 Szoci'!D127+'12 Ovi'!D127+'13 Művház'!D127+'14 Könyvt'!D127</f>
        <v>0</v>
      </c>
      <c r="D150" s="234">
        <f>+'7 Önk'!E127+'8 PH'!E127+'9 VGIG'!E127+'10 Járób'!E127+'11 Szoci'!E127+'12 Ovi'!E127+'13 Művház'!E127+'14 Könyvt'!E127</f>
        <v>0</v>
      </c>
      <c r="E150" s="235">
        <f>+D150+C150</f>
        <v>0</v>
      </c>
      <c r="F150" s="13">
        <f>+'7 Önk'!G127+'8 PH'!G127+'9 VGIG'!G127+'10 Járób'!G127+'11 Szoci'!G127+'12 Ovi'!G127+'13 Művház'!G127+'14 Könyvt'!G127</f>
        <v>0</v>
      </c>
      <c r="G150" s="13">
        <f>+'7 Önk'!H127+'8 PH'!H127+'9 VGIG'!H127+'10 Járób'!H127+'11 Szoci'!H127+'12 Ovi'!H127+'13 Művház'!H127+'14 Könyvt'!H127</f>
        <v>0</v>
      </c>
      <c r="H150" s="431">
        <f>+G150+F150</f>
        <v>0</v>
      </c>
    </row>
    <row r="151" spans="1:8" hidden="1" x14ac:dyDescent="0.25">
      <c r="A151" s="54" t="s">
        <v>312</v>
      </c>
      <c r="B151" s="41" t="s">
        <v>313</v>
      </c>
      <c r="C151" s="234">
        <f>+'7 Önk'!D128+'8 PH'!D128+'9 VGIG'!D128+'10 Járób'!D128+'11 Szoci'!D128+'12 Ovi'!D128+'13 Művház'!D128+'14 Könyvt'!D128</f>
        <v>0</v>
      </c>
      <c r="D151" s="234">
        <f>+'7 Önk'!E128+'8 PH'!E128+'9 VGIG'!E128+'10 Járób'!E128+'11 Szoci'!E128+'12 Ovi'!E128+'13 Művház'!E128+'14 Könyvt'!E128</f>
        <v>0</v>
      </c>
      <c r="E151" s="235">
        <f>+D151+C151</f>
        <v>0</v>
      </c>
      <c r="F151" s="13">
        <f>+'7 Önk'!G128+'8 PH'!G128+'9 VGIG'!G128+'10 Járób'!G128+'11 Szoci'!G128+'12 Ovi'!G128+'13 Művház'!G128+'14 Könyvt'!G128</f>
        <v>0</v>
      </c>
      <c r="G151" s="13">
        <f>+'7 Önk'!H128+'8 PH'!H128+'9 VGIG'!H128+'10 Járób'!H128+'11 Szoci'!H128+'12 Ovi'!H128+'13 Művház'!H128+'14 Könyvt'!H128</f>
        <v>0</v>
      </c>
      <c r="H151" s="431">
        <f>+G151+F151</f>
        <v>0</v>
      </c>
    </row>
    <row r="152" spans="1:8" hidden="1" x14ac:dyDescent="0.25">
      <c r="A152" s="54" t="s">
        <v>314</v>
      </c>
      <c r="B152" s="41" t="s">
        <v>315</v>
      </c>
      <c r="C152" s="234">
        <f>+'7 Önk'!D129+'8 PH'!D129+'9 VGIG'!D129+'10 Járób'!D129+'11 Szoci'!D129+'12 Ovi'!D129+'13 Művház'!D129+'14 Könyvt'!D129</f>
        <v>0</v>
      </c>
      <c r="D152" s="234">
        <f>+'7 Önk'!E129+'8 PH'!E129+'9 VGIG'!E129+'10 Járób'!E129+'11 Szoci'!E129+'12 Ovi'!E129+'13 Művház'!E129+'14 Könyvt'!E129</f>
        <v>0</v>
      </c>
      <c r="E152" s="235">
        <f>+D152+C152</f>
        <v>0</v>
      </c>
      <c r="F152" s="13">
        <f>+'7 Önk'!G129+'8 PH'!G129+'9 VGIG'!G129+'10 Járób'!G129+'11 Szoci'!G129+'12 Ovi'!G129+'13 Művház'!G129+'14 Könyvt'!G129</f>
        <v>0</v>
      </c>
      <c r="G152" s="13">
        <f>+'7 Önk'!H129+'8 PH'!H129+'9 VGIG'!H129+'10 Járób'!H129+'11 Szoci'!H129+'12 Ovi'!H129+'13 Művház'!H129+'14 Könyvt'!H129</f>
        <v>0</v>
      </c>
      <c r="H152" s="431">
        <f>+G152+F152</f>
        <v>0</v>
      </c>
    </row>
    <row r="153" spans="1:8" x14ac:dyDescent="0.25">
      <c r="A153" s="62" t="s">
        <v>316</v>
      </c>
      <c r="B153" s="63" t="s">
        <v>317</v>
      </c>
      <c r="C153" s="237">
        <f t="shared" ref="C153:H153" si="43">+C151+C150+C149+C152</f>
        <v>1468834347</v>
      </c>
      <c r="D153" s="237">
        <f t="shared" si="43"/>
        <v>188698472</v>
      </c>
      <c r="E153" s="237">
        <f t="shared" si="43"/>
        <v>1657532819</v>
      </c>
      <c r="F153" s="57">
        <f t="shared" si="43"/>
        <v>1491232358</v>
      </c>
      <c r="G153" s="57">
        <f t="shared" si="43"/>
        <v>188698472</v>
      </c>
      <c r="H153" s="433">
        <f t="shared" si="43"/>
        <v>1679930830</v>
      </c>
    </row>
    <row r="154" spans="1:8" x14ac:dyDescent="0.25">
      <c r="A154" s="17" t="s">
        <v>318</v>
      </c>
      <c r="B154" s="17" t="s">
        <v>319</v>
      </c>
      <c r="C154" s="241">
        <f t="shared" ref="C154:H154" si="44">+C126+C153</f>
        <v>4339754303</v>
      </c>
      <c r="D154" s="241">
        <f t="shared" si="44"/>
        <v>1802417551</v>
      </c>
      <c r="E154" s="241">
        <f t="shared" si="44"/>
        <v>6142171854</v>
      </c>
      <c r="F154" s="18">
        <f t="shared" si="44"/>
        <v>4400700203</v>
      </c>
      <c r="G154" s="18">
        <f t="shared" si="44"/>
        <v>1802417551</v>
      </c>
      <c r="H154" s="436">
        <f t="shared" si="44"/>
        <v>6203117754</v>
      </c>
    </row>
    <row r="155" spans="1:8" x14ac:dyDescent="0.25">
      <c r="A155" s="2"/>
      <c r="B155" s="2"/>
      <c r="C155" s="242"/>
      <c r="D155" s="242"/>
      <c r="E155" s="243"/>
      <c r="F155" s="3"/>
      <c r="G155" s="3"/>
      <c r="H155" s="65"/>
    </row>
    <row r="156" spans="1:8" x14ac:dyDescent="0.25">
      <c r="A156" s="15" t="s">
        <v>320</v>
      </c>
      <c r="B156" s="15"/>
      <c r="C156" s="235">
        <f t="shared" ref="C156:H156" si="45">+C126-C58</f>
        <v>-1339485227</v>
      </c>
      <c r="D156" s="235">
        <f t="shared" si="45"/>
        <v>-188698472</v>
      </c>
      <c r="E156" s="235">
        <f t="shared" si="45"/>
        <v>-1528183699</v>
      </c>
      <c r="F156" s="14">
        <f t="shared" si="45"/>
        <v>-1358464837</v>
      </c>
      <c r="G156" s="14">
        <f t="shared" si="45"/>
        <v>-192116873</v>
      </c>
      <c r="H156" s="14">
        <f t="shared" si="45"/>
        <v>-1550581710</v>
      </c>
    </row>
    <row r="157" spans="1:8" x14ac:dyDescent="0.25">
      <c r="A157" s="15" t="s">
        <v>321</v>
      </c>
      <c r="B157" s="15"/>
      <c r="C157" s="235">
        <f t="shared" ref="C157:H157" si="46">+C153-C75</f>
        <v>1339485227</v>
      </c>
      <c r="D157" s="235">
        <f t="shared" si="46"/>
        <v>188698472</v>
      </c>
      <c r="E157" s="235">
        <f t="shared" si="46"/>
        <v>1528183699</v>
      </c>
      <c r="F157" s="14">
        <f t="shared" si="46"/>
        <v>1361883238</v>
      </c>
      <c r="G157" s="14">
        <f t="shared" si="46"/>
        <v>188698472</v>
      </c>
      <c r="H157" s="14">
        <f t="shared" si="46"/>
        <v>1550581710</v>
      </c>
    </row>
    <row r="158" spans="1:8" x14ac:dyDescent="0.25">
      <c r="A158" s="16"/>
      <c r="B158" s="16"/>
      <c r="C158" s="243"/>
      <c r="D158" s="243"/>
      <c r="E158" s="243"/>
      <c r="F158" s="65"/>
      <c r="G158" s="65"/>
      <c r="H158" s="65"/>
    </row>
    <row r="159" spans="1:8" x14ac:dyDescent="0.25">
      <c r="A159" s="15" t="s">
        <v>322</v>
      </c>
      <c r="B159" s="15"/>
      <c r="C159" s="235">
        <f>+C127+C131+C138-C61-C65</f>
        <v>19735109</v>
      </c>
      <c r="D159" s="235">
        <f>+D127+D132+D138-D61</f>
        <v>-72232912</v>
      </c>
      <c r="E159" s="235">
        <f>+C159+D159</f>
        <v>-52497803</v>
      </c>
      <c r="F159" s="14">
        <f>+F127+F131+F138-F61-F65</f>
        <v>24820653</v>
      </c>
      <c r="G159" s="14">
        <f>+G127+G132+G138-G61</f>
        <v>-68720413</v>
      </c>
      <c r="H159" s="14">
        <f>+F159+G159</f>
        <v>-43899760</v>
      </c>
    </row>
    <row r="160" spans="1:8" x14ac:dyDescent="0.25">
      <c r="A160" s="15" t="s">
        <v>323</v>
      </c>
      <c r="B160" s="15"/>
      <c r="C160" s="235">
        <f t="shared" ref="C160:H160" si="47">+C128+C139-C59+C129+C130</f>
        <v>-19735109</v>
      </c>
      <c r="D160" s="235">
        <f t="shared" si="47"/>
        <v>72232912</v>
      </c>
      <c r="E160" s="235">
        <f t="shared" si="47"/>
        <v>52497803</v>
      </c>
      <c r="F160" s="14">
        <f t="shared" si="47"/>
        <v>-21402252</v>
      </c>
      <c r="G160" s="14">
        <f t="shared" si="47"/>
        <v>65302012</v>
      </c>
      <c r="H160" s="14">
        <f t="shared" si="47"/>
        <v>43899760</v>
      </c>
    </row>
    <row r="161" spans="1:8" x14ac:dyDescent="0.25">
      <c r="A161" s="2"/>
      <c r="B161" s="2"/>
      <c r="C161" s="242"/>
      <c r="D161" s="242"/>
      <c r="E161" s="243"/>
      <c r="F161" s="3"/>
      <c r="G161" s="3"/>
      <c r="H161" s="65"/>
    </row>
    <row r="162" spans="1:8" x14ac:dyDescent="0.25">
      <c r="A162" s="70" t="s">
        <v>324</v>
      </c>
      <c r="B162" s="2"/>
      <c r="C162" s="242">
        <f t="shared" ref="C162:H162" si="48">+C154-C76</f>
        <v>0</v>
      </c>
      <c r="D162" s="242">
        <f t="shared" si="48"/>
        <v>0</v>
      </c>
      <c r="E162" s="242">
        <f t="shared" si="48"/>
        <v>0</v>
      </c>
      <c r="F162" s="3">
        <f t="shared" si="48"/>
        <v>3418401</v>
      </c>
      <c r="G162" s="3">
        <f t="shared" si="48"/>
        <v>-3418401</v>
      </c>
      <c r="H162" s="3">
        <f t="shared" si="48"/>
        <v>0</v>
      </c>
    </row>
    <row r="163" spans="1:8" x14ac:dyDescent="0.25">
      <c r="A163" s="2"/>
      <c r="B163" s="2"/>
      <c r="C163" s="242"/>
      <c r="D163" s="242"/>
      <c r="E163" s="243"/>
      <c r="F163" s="3"/>
      <c r="G163" s="3"/>
      <c r="H163" s="65"/>
    </row>
    <row r="164" spans="1:8" x14ac:dyDescent="0.25">
      <c r="A164" s="2"/>
      <c r="B164" s="2"/>
      <c r="C164" s="242"/>
      <c r="D164" s="242"/>
      <c r="E164" s="243"/>
      <c r="F164" s="3"/>
      <c r="G164" s="3"/>
      <c r="H164" s="65"/>
    </row>
    <row r="165" spans="1:8" x14ac:dyDescent="0.25">
      <c r="A165" s="2"/>
      <c r="B165" s="2"/>
      <c r="C165" s="242"/>
      <c r="D165" s="242"/>
      <c r="E165" s="243"/>
      <c r="F165" s="3"/>
      <c r="G165" s="3"/>
      <c r="H165" s="65"/>
    </row>
    <row r="166" spans="1:8" x14ac:dyDescent="0.25">
      <c r="A166" s="2"/>
      <c r="B166" s="2"/>
      <c r="C166" s="242"/>
      <c r="D166" s="242"/>
      <c r="E166" s="243"/>
      <c r="F166" s="3"/>
      <c r="G166" s="3"/>
      <c r="H166" s="65"/>
    </row>
    <row r="167" spans="1:8" x14ac:dyDescent="0.25">
      <c r="A167" s="2"/>
      <c r="B167" s="2"/>
      <c r="C167" s="242"/>
      <c r="D167" s="242"/>
      <c r="E167" s="243"/>
      <c r="F167" s="3"/>
      <c r="G167" s="3"/>
      <c r="H167" s="65"/>
    </row>
    <row r="168" spans="1:8" x14ac:dyDescent="0.25">
      <c r="A168" s="2"/>
      <c r="B168" s="2"/>
      <c r="C168" s="242"/>
      <c r="D168" s="242"/>
      <c r="E168" s="243"/>
      <c r="F168" s="3"/>
      <c r="G168" s="3"/>
      <c r="H168" s="65"/>
    </row>
    <row r="169" spans="1:8" x14ac:dyDescent="0.25">
      <c r="A169" s="2"/>
      <c r="B169" s="2"/>
      <c r="C169" s="242"/>
      <c r="D169" s="242"/>
      <c r="E169" s="243"/>
      <c r="F169" s="3"/>
      <c r="G169" s="3"/>
      <c r="H169" s="65"/>
    </row>
    <row r="170" spans="1:8" x14ac:dyDescent="0.25">
      <c r="A170" s="2"/>
      <c r="B170" s="2"/>
      <c r="C170" s="242"/>
      <c r="D170" s="242"/>
      <c r="E170" s="243"/>
      <c r="F170" s="3"/>
      <c r="G170" s="3"/>
      <c r="H170" s="65"/>
    </row>
    <row r="171" spans="1:8" x14ac:dyDescent="0.25">
      <c r="A171" s="2"/>
      <c r="B171" s="2"/>
      <c r="C171" s="242"/>
      <c r="D171" s="242"/>
      <c r="E171" s="243"/>
      <c r="F171" s="3"/>
      <c r="G171" s="3"/>
      <c r="H171" s="65"/>
    </row>
    <row r="172" spans="1:8" x14ac:dyDescent="0.25">
      <c r="A172" s="2"/>
      <c r="B172" s="2"/>
      <c r="C172" s="242"/>
      <c r="D172" s="242"/>
      <c r="E172" s="243"/>
      <c r="F172" s="3"/>
      <c r="G172" s="3"/>
      <c r="H172" s="65"/>
    </row>
    <row r="173" spans="1:8" x14ac:dyDescent="0.25">
      <c r="A173" s="2"/>
      <c r="B173" s="2"/>
      <c r="C173" s="242"/>
      <c r="D173" s="242"/>
      <c r="E173" s="243"/>
      <c r="F173" s="3"/>
      <c r="G173" s="3"/>
      <c r="H173" s="65"/>
    </row>
    <row r="174" spans="1:8" x14ac:dyDescent="0.25">
      <c r="A174" s="2"/>
      <c r="B174" s="2"/>
      <c r="C174" s="242"/>
      <c r="D174" s="242"/>
      <c r="E174" s="243"/>
      <c r="F174" s="3"/>
      <c r="G174" s="3"/>
      <c r="H174" s="65"/>
    </row>
    <row r="175" spans="1:8" x14ac:dyDescent="0.25">
      <c r="A175" s="2"/>
      <c r="B175" s="2"/>
      <c r="C175" s="242"/>
      <c r="D175" s="242"/>
      <c r="E175" s="243"/>
      <c r="F175" s="3"/>
      <c r="G175" s="3"/>
      <c r="H175" s="65"/>
    </row>
    <row r="176" spans="1:8" x14ac:dyDescent="0.25">
      <c r="A176" s="2"/>
      <c r="B176" s="2"/>
      <c r="C176" s="242"/>
      <c r="D176" s="242"/>
      <c r="E176" s="243"/>
      <c r="F176" s="3"/>
      <c r="G176" s="3"/>
      <c r="H176" s="65"/>
    </row>
    <row r="177" spans="1:8" x14ac:dyDescent="0.25">
      <c r="A177" s="2"/>
      <c r="B177" s="2"/>
      <c r="C177" s="242"/>
      <c r="D177" s="242"/>
      <c r="E177" s="243"/>
      <c r="F177" s="3"/>
      <c r="G177" s="3"/>
      <c r="H177" s="65"/>
    </row>
    <row r="178" spans="1:8" x14ac:dyDescent="0.25">
      <c r="A178" s="2"/>
      <c r="B178" s="2"/>
      <c r="C178" s="242"/>
      <c r="D178" s="242"/>
      <c r="E178" s="243"/>
      <c r="F178" s="3"/>
      <c r="G178" s="3"/>
      <c r="H178" s="65"/>
    </row>
    <row r="179" spans="1:8" x14ac:dyDescent="0.25">
      <c r="A179" s="2"/>
      <c r="B179" s="2"/>
      <c r="C179" s="242"/>
      <c r="D179" s="242"/>
      <c r="E179" s="243"/>
      <c r="F179" s="3"/>
      <c r="G179" s="3"/>
      <c r="H179" s="65"/>
    </row>
    <row r="180" spans="1:8" x14ac:dyDescent="0.25">
      <c r="A180" s="2"/>
      <c r="B180" s="2"/>
      <c r="C180" s="242"/>
      <c r="D180" s="242"/>
      <c r="E180" s="243"/>
      <c r="F180" s="3"/>
      <c r="G180" s="3"/>
      <c r="H180" s="65"/>
    </row>
    <row r="181" spans="1:8" x14ac:dyDescent="0.25">
      <c r="A181" s="2"/>
      <c r="B181" s="2"/>
      <c r="C181" s="242"/>
      <c r="D181" s="242"/>
      <c r="E181" s="243"/>
      <c r="F181" s="3"/>
      <c r="G181" s="3"/>
      <c r="H181" s="65"/>
    </row>
    <row r="182" spans="1:8" x14ac:dyDescent="0.25">
      <c r="A182" s="2"/>
      <c r="B182" s="2"/>
      <c r="C182" s="242"/>
      <c r="D182" s="242"/>
      <c r="E182" s="243"/>
      <c r="F182" s="3"/>
      <c r="G182" s="3"/>
      <c r="H182" s="65"/>
    </row>
    <row r="183" spans="1:8" x14ac:dyDescent="0.25">
      <c r="A183" s="2"/>
      <c r="B183" s="2"/>
      <c r="C183" s="242"/>
      <c r="D183" s="242"/>
      <c r="E183" s="243"/>
      <c r="F183" s="3"/>
      <c r="G183" s="3"/>
      <c r="H183" s="65"/>
    </row>
    <row r="184" spans="1:8" x14ac:dyDescent="0.25">
      <c r="A184" s="2"/>
      <c r="B184" s="2"/>
      <c r="C184" s="242"/>
      <c r="D184" s="242"/>
      <c r="E184" s="243"/>
      <c r="F184" s="3"/>
      <c r="G184" s="3"/>
      <c r="H184" s="65"/>
    </row>
    <row r="185" spans="1:8" x14ac:dyDescent="0.25">
      <c r="A185" s="2"/>
      <c r="B185" s="2"/>
      <c r="C185" s="242"/>
      <c r="D185" s="242"/>
      <c r="E185" s="243"/>
      <c r="F185" s="3"/>
      <c r="G185" s="3"/>
      <c r="H185" s="65"/>
    </row>
    <row r="186" spans="1:8" x14ac:dyDescent="0.25">
      <c r="A186" s="2"/>
      <c r="B186" s="2"/>
      <c r="C186" s="242"/>
      <c r="D186" s="242"/>
      <c r="E186" s="243"/>
      <c r="F186" s="3"/>
      <c r="G186" s="3"/>
      <c r="H186" s="65"/>
    </row>
    <row r="187" spans="1:8" x14ac:dyDescent="0.25">
      <c r="A187" s="2"/>
      <c r="B187" s="2"/>
      <c r="C187" s="242"/>
      <c r="D187" s="242"/>
      <c r="E187" s="243"/>
      <c r="F187" s="3"/>
      <c r="G187" s="3"/>
      <c r="H187" s="65"/>
    </row>
    <row r="188" spans="1:8" x14ac:dyDescent="0.25">
      <c r="A188" s="2"/>
      <c r="B188" s="2"/>
      <c r="C188" s="242"/>
      <c r="D188" s="242"/>
      <c r="E188" s="243"/>
      <c r="F188" s="3"/>
      <c r="G188" s="3"/>
      <c r="H188" s="65"/>
    </row>
    <row r="189" spans="1:8" x14ac:dyDescent="0.25">
      <c r="A189" s="2"/>
      <c r="B189" s="2"/>
      <c r="C189" s="242"/>
      <c r="D189" s="242"/>
      <c r="E189" s="243"/>
      <c r="F189" s="3"/>
      <c r="G189" s="3"/>
      <c r="H189" s="65"/>
    </row>
    <row r="190" spans="1:8" x14ac:dyDescent="0.25">
      <c r="A190" s="2"/>
      <c r="B190" s="2"/>
      <c r="C190" s="242"/>
      <c r="D190" s="242"/>
      <c r="E190" s="243"/>
      <c r="F190" s="3"/>
      <c r="G190" s="3"/>
      <c r="H190" s="65"/>
    </row>
    <row r="191" spans="1:8" x14ac:dyDescent="0.25">
      <c r="A191" s="2"/>
      <c r="B191" s="2"/>
      <c r="C191" s="242"/>
      <c r="D191" s="242"/>
      <c r="E191" s="243"/>
      <c r="F191" s="3"/>
      <c r="G191" s="3"/>
      <c r="H191" s="65"/>
    </row>
    <row r="192" spans="1:8" x14ac:dyDescent="0.25">
      <c r="A192" s="2"/>
      <c r="B192" s="2"/>
      <c r="C192" s="242"/>
      <c r="D192" s="242"/>
      <c r="E192" s="243"/>
      <c r="F192" s="3"/>
      <c r="G192" s="3"/>
      <c r="H192" s="65"/>
    </row>
    <row r="193" spans="1:8" x14ac:dyDescent="0.25">
      <c r="A193" s="2"/>
      <c r="B193" s="2"/>
      <c r="C193" s="242"/>
      <c r="D193" s="242"/>
      <c r="E193" s="243"/>
      <c r="F193" s="3"/>
      <c r="G193" s="3"/>
      <c r="H193" s="65"/>
    </row>
    <row r="194" spans="1:8" x14ac:dyDescent="0.25">
      <c r="A194" s="2"/>
      <c r="B194" s="2"/>
      <c r="C194" s="242"/>
      <c r="D194" s="242"/>
      <c r="E194" s="243"/>
      <c r="F194" s="3"/>
      <c r="G194" s="3"/>
      <c r="H194" s="65"/>
    </row>
    <row r="195" spans="1:8" x14ac:dyDescent="0.25">
      <c r="A195" s="2"/>
      <c r="B195" s="2"/>
      <c r="C195" s="242"/>
      <c r="D195" s="242"/>
      <c r="E195" s="243"/>
      <c r="F195" s="3"/>
      <c r="G195" s="3"/>
      <c r="H195" s="65"/>
    </row>
    <row r="196" spans="1:8" x14ac:dyDescent="0.25">
      <c r="A196" s="2"/>
      <c r="B196" s="2"/>
      <c r="C196" s="242"/>
      <c r="D196" s="242"/>
      <c r="E196" s="243"/>
      <c r="F196" s="3"/>
      <c r="G196" s="3"/>
      <c r="H196" s="65"/>
    </row>
    <row r="197" spans="1:8" x14ac:dyDescent="0.25">
      <c r="A197" s="2"/>
      <c r="B197" s="2"/>
      <c r="C197" s="242"/>
      <c r="D197" s="242"/>
      <c r="E197" s="243"/>
      <c r="F197" s="3"/>
      <c r="G197" s="3"/>
      <c r="H197" s="65"/>
    </row>
    <row r="198" spans="1:8" x14ac:dyDescent="0.25">
      <c r="A198" s="2"/>
      <c r="B198" s="2"/>
      <c r="C198" s="242"/>
      <c r="D198" s="242"/>
      <c r="E198" s="243"/>
      <c r="F198" s="3"/>
      <c r="G198" s="3"/>
      <c r="H198" s="65"/>
    </row>
    <row r="199" spans="1:8" x14ac:dyDescent="0.25">
      <c r="A199" s="2"/>
      <c r="B199" s="2"/>
      <c r="C199" s="242"/>
      <c r="D199" s="242"/>
      <c r="E199" s="243"/>
      <c r="F199" s="3"/>
      <c r="G199" s="3"/>
      <c r="H199" s="65"/>
    </row>
    <row r="200" spans="1:8" x14ac:dyDescent="0.25">
      <c r="A200" s="2"/>
      <c r="B200" s="2"/>
      <c r="C200" s="242"/>
      <c r="D200" s="242"/>
      <c r="E200" s="243"/>
      <c r="F200" s="3"/>
      <c r="G200" s="3"/>
      <c r="H200" s="65"/>
    </row>
    <row r="201" spans="1:8" x14ac:dyDescent="0.25">
      <c r="A201" s="2"/>
      <c r="B201" s="2"/>
      <c r="C201" s="242"/>
      <c r="D201" s="242"/>
      <c r="E201" s="243"/>
      <c r="F201" s="3"/>
      <c r="G201" s="3"/>
      <c r="H201" s="65"/>
    </row>
    <row r="202" spans="1:8" x14ac:dyDescent="0.25">
      <c r="A202" s="2"/>
      <c r="B202" s="2"/>
      <c r="C202" s="242"/>
      <c r="D202" s="242"/>
      <c r="E202" s="243"/>
      <c r="F202" s="3"/>
      <c r="G202" s="3"/>
      <c r="H202" s="65"/>
    </row>
    <row r="203" spans="1:8" x14ac:dyDescent="0.25">
      <c r="A203" s="2"/>
      <c r="B203" s="2"/>
      <c r="C203" s="242"/>
      <c r="D203" s="242"/>
      <c r="E203" s="243"/>
      <c r="F203" s="3"/>
      <c r="G203" s="3"/>
      <c r="H203" s="65"/>
    </row>
    <row r="204" spans="1:8" x14ac:dyDescent="0.25">
      <c r="A204" s="2"/>
      <c r="B204" s="2"/>
      <c r="C204" s="242"/>
      <c r="D204" s="242"/>
      <c r="E204" s="243"/>
      <c r="F204" s="3"/>
      <c r="G204" s="3"/>
      <c r="H204" s="65"/>
    </row>
    <row r="205" spans="1:8" x14ac:dyDescent="0.25">
      <c r="A205" s="2"/>
      <c r="B205" s="2"/>
      <c r="C205" s="242"/>
      <c r="D205" s="242"/>
      <c r="E205" s="243"/>
      <c r="F205" s="3"/>
      <c r="G205" s="3"/>
      <c r="H205" s="65"/>
    </row>
    <row r="206" spans="1:8" x14ac:dyDescent="0.25">
      <c r="A206" s="2"/>
      <c r="B206" s="2"/>
      <c r="C206" s="242"/>
      <c r="D206" s="242"/>
      <c r="E206" s="243"/>
      <c r="F206" s="3"/>
      <c r="G206" s="3"/>
      <c r="H206" s="65"/>
    </row>
    <row r="207" spans="1:8" x14ac:dyDescent="0.25">
      <c r="A207" s="2"/>
      <c r="B207" s="2"/>
      <c r="C207" s="242"/>
      <c r="D207" s="242"/>
      <c r="E207" s="243"/>
      <c r="F207" s="3"/>
      <c r="G207" s="3"/>
      <c r="H207" s="65"/>
    </row>
    <row r="208" spans="1:8" x14ac:dyDescent="0.25">
      <c r="A208" s="2"/>
      <c r="B208" s="2"/>
      <c r="C208" s="242"/>
      <c r="D208" s="242"/>
      <c r="E208" s="243"/>
      <c r="F208" s="3"/>
      <c r="G208" s="3"/>
      <c r="H208" s="65"/>
    </row>
    <row r="209" spans="1:8" x14ac:dyDescent="0.25">
      <c r="A209" s="2"/>
      <c r="B209" s="2"/>
      <c r="C209" s="242"/>
      <c r="D209" s="242"/>
      <c r="E209" s="243"/>
      <c r="F209" s="3"/>
      <c r="G209" s="3"/>
      <c r="H209" s="65"/>
    </row>
    <row r="210" spans="1:8" x14ac:dyDescent="0.25">
      <c r="A210" s="2"/>
      <c r="B210" s="2"/>
      <c r="C210" s="242"/>
      <c r="D210" s="242"/>
      <c r="E210" s="243"/>
      <c r="F210" s="3"/>
      <c r="G210" s="3"/>
      <c r="H210" s="65"/>
    </row>
    <row r="211" spans="1:8" x14ac:dyDescent="0.25">
      <c r="A211" s="2"/>
      <c r="B211" s="2"/>
      <c r="C211" s="242"/>
      <c r="D211" s="242"/>
      <c r="E211" s="243"/>
      <c r="F211" s="3"/>
      <c r="G211" s="3"/>
      <c r="H211" s="65"/>
    </row>
    <row r="212" spans="1:8" x14ac:dyDescent="0.25">
      <c r="A212" s="2"/>
      <c r="B212" s="2"/>
      <c r="C212" s="242"/>
      <c r="D212" s="242"/>
      <c r="E212" s="243"/>
      <c r="F212" s="3"/>
      <c r="G212" s="3"/>
      <c r="H212" s="65"/>
    </row>
    <row r="213" spans="1:8" x14ac:dyDescent="0.25">
      <c r="A213" s="2"/>
      <c r="B213" s="2"/>
      <c r="C213" s="242"/>
      <c r="D213" s="242"/>
      <c r="E213" s="243"/>
      <c r="F213" s="3"/>
      <c r="G213" s="3"/>
      <c r="H213" s="65"/>
    </row>
    <row r="214" spans="1:8" x14ac:dyDescent="0.25">
      <c r="A214" s="2"/>
      <c r="B214" s="2"/>
      <c r="C214" s="242"/>
      <c r="D214" s="242"/>
      <c r="E214" s="243"/>
      <c r="F214" s="3"/>
      <c r="G214" s="3"/>
      <c r="H214" s="65"/>
    </row>
    <row r="215" spans="1:8" x14ac:dyDescent="0.25">
      <c r="A215" s="2"/>
      <c r="B215" s="2"/>
      <c r="C215" s="242"/>
      <c r="D215" s="242"/>
      <c r="E215" s="243"/>
      <c r="F215" s="3"/>
      <c r="G215" s="3"/>
      <c r="H215" s="65"/>
    </row>
    <row r="216" spans="1:8" x14ac:dyDescent="0.25">
      <c r="A216" s="2"/>
      <c r="B216" s="2"/>
      <c r="C216" s="106"/>
      <c r="D216" s="106"/>
      <c r="E216" s="189"/>
      <c r="F216" s="3"/>
      <c r="G216" s="3"/>
      <c r="H216" s="65"/>
    </row>
    <row r="217" spans="1:8" x14ac:dyDescent="0.25">
      <c r="A217" s="2"/>
      <c r="B217" s="2"/>
      <c r="C217" s="106"/>
      <c r="D217" s="106"/>
      <c r="E217" s="189"/>
      <c r="F217" s="3"/>
      <c r="G217" s="3"/>
      <c r="H217" s="65"/>
    </row>
    <row r="218" spans="1:8" x14ac:dyDescent="0.25">
      <c r="A218" s="2"/>
      <c r="B218" s="2"/>
      <c r="C218" s="106"/>
      <c r="D218" s="106"/>
      <c r="E218" s="189"/>
      <c r="F218" s="3"/>
      <c r="G218" s="3"/>
      <c r="H218" s="65"/>
    </row>
    <row r="219" spans="1:8" x14ac:dyDescent="0.25">
      <c r="A219" s="2"/>
      <c r="B219" s="2"/>
      <c r="C219" s="106"/>
      <c r="D219" s="106"/>
      <c r="E219" s="189"/>
      <c r="F219" s="3"/>
      <c r="G219" s="3"/>
      <c r="H219" s="65"/>
    </row>
    <row r="220" spans="1:8" x14ac:dyDescent="0.25">
      <c r="A220" s="2"/>
      <c r="B220" s="2"/>
      <c r="C220" s="106"/>
      <c r="D220" s="106"/>
      <c r="E220" s="189"/>
      <c r="F220" s="3"/>
      <c r="G220" s="3"/>
      <c r="H220" s="65"/>
    </row>
    <row r="221" spans="1:8" x14ac:dyDescent="0.25">
      <c r="A221" s="2"/>
      <c r="B221" s="2"/>
      <c r="C221" s="106"/>
      <c r="D221" s="106"/>
      <c r="E221" s="189"/>
      <c r="F221" s="3"/>
      <c r="G221" s="3"/>
      <c r="H221" s="65"/>
    </row>
    <row r="222" spans="1:8" x14ac:dyDescent="0.25">
      <c r="A222" s="2"/>
      <c r="B222" s="2"/>
      <c r="C222" s="106"/>
      <c r="D222" s="106"/>
      <c r="E222" s="189"/>
      <c r="F222" s="3"/>
      <c r="G222" s="3"/>
      <c r="H222" s="65"/>
    </row>
    <row r="223" spans="1:8" x14ac:dyDescent="0.25">
      <c r="A223" s="2"/>
      <c r="B223" s="2"/>
      <c r="C223" s="106"/>
      <c r="D223" s="106"/>
      <c r="E223" s="189"/>
      <c r="F223" s="3"/>
      <c r="G223" s="3"/>
      <c r="H223" s="65"/>
    </row>
    <row r="224" spans="1:8" x14ac:dyDescent="0.25">
      <c r="A224" s="2"/>
      <c r="B224" s="2"/>
      <c r="C224" s="106"/>
      <c r="D224" s="106"/>
      <c r="E224" s="189"/>
      <c r="F224" s="3"/>
      <c r="G224" s="3"/>
      <c r="H224" s="65"/>
    </row>
    <row r="225" spans="1:8" x14ac:dyDescent="0.25">
      <c r="A225" s="2"/>
      <c r="B225" s="2"/>
      <c r="C225" s="106"/>
      <c r="D225" s="106"/>
      <c r="E225" s="189"/>
      <c r="F225" s="3"/>
      <c r="G225" s="3"/>
      <c r="H225" s="65"/>
    </row>
    <row r="226" spans="1:8" x14ac:dyDescent="0.25">
      <c r="A226" s="2"/>
      <c r="B226" s="2"/>
      <c r="C226" s="106"/>
      <c r="D226" s="106"/>
      <c r="E226" s="189"/>
      <c r="F226" s="3"/>
      <c r="G226" s="3"/>
      <c r="H226" s="65"/>
    </row>
    <row r="227" spans="1:8" x14ac:dyDescent="0.25">
      <c r="A227" s="2"/>
      <c r="B227" s="2"/>
      <c r="C227" s="106"/>
      <c r="D227" s="106"/>
      <c r="E227" s="189"/>
      <c r="F227" s="3"/>
      <c r="G227" s="3"/>
      <c r="H227" s="65"/>
    </row>
    <row r="228" spans="1:8" x14ac:dyDescent="0.25">
      <c r="A228" s="2"/>
      <c r="B228" s="2"/>
      <c r="C228" s="106"/>
      <c r="D228" s="106"/>
      <c r="E228" s="189"/>
      <c r="F228" s="3"/>
      <c r="G228" s="3"/>
      <c r="H228" s="65"/>
    </row>
    <row r="229" spans="1:8" x14ac:dyDescent="0.25">
      <c r="A229" s="2"/>
      <c r="B229" s="2"/>
      <c r="C229" s="106"/>
      <c r="D229" s="106"/>
      <c r="E229" s="189"/>
      <c r="F229" s="3"/>
      <c r="G229" s="3"/>
      <c r="H229" s="65"/>
    </row>
    <row r="230" spans="1:8" x14ac:dyDescent="0.25">
      <c r="A230" s="2"/>
      <c r="B230" s="2"/>
      <c r="C230" s="106"/>
      <c r="D230" s="106"/>
      <c r="E230" s="189"/>
      <c r="F230" s="3"/>
      <c r="G230" s="3"/>
      <c r="H230" s="65"/>
    </row>
    <row r="231" spans="1:8" x14ac:dyDescent="0.25">
      <c r="A231" s="2"/>
      <c r="B231" s="2"/>
      <c r="C231" s="106"/>
      <c r="D231" s="106"/>
      <c r="E231" s="189"/>
      <c r="F231" s="3"/>
      <c r="G231" s="3"/>
      <c r="H231" s="65"/>
    </row>
    <row r="232" spans="1:8" x14ac:dyDescent="0.25">
      <c r="A232" s="2"/>
      <c r="B232" s="2"/>
      <c r="C232" s="106"/>
      <c r="D232" s="106"/>
      <c r="E232" s="189"/>
      <c r="F232" s="3"/>
      <c r="G232" s="3"/>
      <c r="H232" s="65"/>
    </row>
    <row r="233" spans="1:8" x14ac:dyDescent="0.25">
      <c r="A233" s="2"/>
      <c r="B233" s="2"/>
      <c r="C233" s="106"/>
      <c r="D233" s="106"/>
      <c r="E233" s="189"/>
      <c r="F233" s="3"/>
      <c r="G233" s="3"/>
      <c r="H233" s="65"/>
    </row>
    <row r="234" spans="1:8" x14ac:dyDescent="0.25">
      <c r="A234" s="2"/>
      <c r="B234" s="2"/>
      <c r="C234" s="106"/>
      <c r="D234" s="106"/>
      <c r="E234" s="189"/>
      <c r="F234" s="3"/>
      <c r="G234" s="3"/>
      <c r="H234" s="65"/>
    </row>
    <row r="235" spans="1:8" x14ac:dyDescent="0.25">
      <c r="A235" s="2"/>
      <c r="B235" s="2"/>
      <c r="C235" s="106"/>
      <c r="D235" s="106"/>
      <c r="E235" s="189"/>
      <c r="F235" s="3"/>
      <c r="G235" s="3"/>
      <c r="H235" s="65"/>
    </row>
    <row r="236" spans="1:8" x14ac:dyDescent="0.25">
      <c r="A236" s="2"/>
      <c r="B236" s="2"/>
      <c r="C236" s="106"/>
      <c r="D236" s="106"/>
      <c r="E236" s="189"/>
      <c r="F236" s="3"/>
      <c r="G236" s="3"/>
      <c r="H236" s="65"/>
    </row>
    <row r="237" spans="1:8" x14ac:dyDescent="0.25">
      <c r="A237" s="2"/>
      <c r="B237" s="2"/>
      <c r="C237" s="106"/>
      <c r="D237" s="106"/>
      <c r="E237" s="189"/>
      <c r="F237" s="3"/>
      <c r="G237" s="3"/>
      <c r="H237" s="65"/>
    </row>
    <row r="238" spans="1:8" x14ac:dyDescent="0.25">
      <c r="A238" s="2"/>
      <c r="B238" s="2"/>
      <c r="C238" s="106"/>
      <c r="D238" s="106"/>
      <c r="E238" s="189"/>
      <c r="F238" s="3"/>
      <c r="G238" s="3"/>
      <c r="H238" s="65"/>
    </row>
    <row r="239" spans="1:8" x14ac:dyDescent="0.25">
      <c r="A239" s="2"/>
      <c r="B239" s="2"/>
      <c r="C239" s="106"/>
      <c r="D239" s="106"/>
      <c r="E239" s="189"/>
      <c r="F239" s="3"/>
      <c r="G239" s="3"/>
      <c r="H239" s="65"/>
    </row>
    <row r="240" spans="1:8" x14ac:dyDescent="0.25">
      <c r="A240" s="2"/>
      <c r="B240" s="2"/>
      <c r="C240" s="106"/>
      <c r="D240" s="106"/>
      <c r="E240" s="189"/>
      <c r="F240" s="3"/>
      <c r="G240" s="3"/>
      <c r="H240" s="65"/>
    </row>
    <row r="241" spans="1:8" x14ac:dyDescent="0.25">
      <c r="A241" s="2"/>
      <c r="B241" s="2"/>
      <c r="C241" s="106"/>
      <c r="D241" s="106"/>
      <c r="E241" s="189"/>
      <c r="F241" s="3"/>
      <c r="G241" s="3"/>
      <c r="H241" s="65"/>
    </row>
    <row r="242" spans="1:8" x14ac:dyDescent="0.25">
      <c r="A242" s="2"/>
      <c r="B242" s="2"/>
      <c r="C242" s="106"/>
      <c r="D242" s="106"/>
      <c r="E242" s="189"/>
      <c r="F242" s="3"/>
      <c r="G242" s="3"/>
      <c r="H242" s="65"/>
    </row>
    <row r="243" spans="1:8" x14ac:dyDescent="0.25">
      <c r="A243" s="2"/>
      <c r="B243" s="2"/>
      <c r="C243" s="106"/>
      <c r="D243" s="106"/>
      <c r="E243" s="189"/>
      <c r="F243" s="3"/>
      <c r="G243" s="3"/>
      <c r="H243" s="65"/>
    </row>
    <row r="244" spans="1:8" x14ac:dyDescent="0.25">
      <c r="A244" s="2"/>
      <c r="B244" s="2"/>
      <c r="C244" s="106"/>
      <c r="D244" s="106"/>
      <c r="E244" s="189"/>
      <c r="F244" s="3"/>
      <c r="G244" s="3"/>
      <c r="H244" s="65"/>
    </row>
    <row r="245" spans="1:8" x14ac:dyDescent="0.25">
      <c r="A245" s="2"/>
      <c r="B245" s="2"/>
      <c r="C245" s="106"/>
      <c r="D245" s="106"/>
      <c r="E245" s="189"/>
      <c r="F245" s="3"/>
      <c r="G245" s="3"/>
      <c r="H245" s="65"/>
    </row>
    <row r="246" spans="1:8" x14ac:dyDescent="0.25">
      <c r="A246" s="2"/>
      <c r="B246" s="2"/>
      <c r="C246" s="106"/>
      <c r="D246" s="106"/>
      <c r="E246" s="189"/>
      <c r="F246" s="3"/>
      <c r="G246" s="3"/>
      <c r="H246" s="65"/>
    </row>
    <row r="247" spans="1:8" x14ac:dyDescent="0.25">
      <c r="A247" s="2"/>
      <c r="B247" s="2"/>
      <c r="C247" s="106"/>
      <c r="D247" s="106"/>
      <c r="E247" s="189"/>
      <c r="F247" s="3"/>
      <c r="G247" s="3"/>
      <c r="H247" s="65"/>
    </row>
    <row r="248" spans="1:8" x14ac:dyDescent="0.25">
      <c r="A248" s="2"/>
      <c r="B248" s="2"/>
      <c r="C248" s="106"/>
      <c r="D248" s="106"/>
      <c r="E248" s="189"/>
      <c r="F248" s="3"/>
      <c r="G248" s="3"/>
      <c r="H248" s="65"/>
    </row>
    <row r="249" spans="1:8" x14ac:dyDescent="0.25">
      <c r="A249" s="2"/>
      <c r="B249" s="2"/>
      <c r="C249" s="106"/>
      <c r="D249" s="106"/>
      <c r="E249" s="189"/>
      <c r="F249" s="3"/>
      <c r="G249" s="3"/>
      <c r="H249" s="65"/>
    </row>
    <row r="250" spans="1:8" x14ac:dyDescent="0.25">
      <c r="A250" s="2"/>
      <c r="B250" s="2"/>
      <c r="C250" s="106"/>
      <c r="D250" s="106"/>
      <c r="E250" s="189"/>
      <c r="F250" s="3"/>
      <c r="G250" s="3"/>
      <c r="H250" s="65"/>
    </row>
    <row r="251" spans="1:8" x14ac:dyDescent="0.25">
      <c r="A251" s="2"/>
      <c r="B251" s="2"/>
      <c r="C251" s="106"/>
      <c r="D251" s="106"/>
      <c r="E251" s="189"/>
      <c r="F251" s="3"/>
      <c r="G251" s="3"/>
      <c r="H251" s="65"/>
    </row>
    <row r="252" spans="1:8" x14ac:dyDescent="0.25">
      <c r="A252" s="2"/>
      <c r="B252" s="2"/>
      <c r="C252" s="106"/>
      <c r="D252" s="106"/>
      <c r="E252" s="189"/>
      <c r="F252" s="3"/>
      <c r="G252" s="3"/>
      <c r="H252" s="65"/>
    </row>
    <row r="253" spans="1:8" x14ac:dyDescent="0.25">
      <c r="A253" s="2"/>
      <c r="B253" s="2"/>
      <c r="C253" s="106"/>
      <c r="D253" s="106"/>
      <c r="E253" s="189"/>
      <c r="F253" s="3"/>
      <c r="G253" s="3"/>
      <c r="H253" s="65"/>
    </row>
    <row r="254" spans="1:8" x14ac:dyDescent="0.25">
      <c r="A254" s="2"/>
      <c r="B254" s="2"/>
      <c r="C254" s="106"/>
      <c r="D254" s="106"/>
      <c r="E254" s="189"/>
      <c r="F254" s="3"/>
      <c r="G254" s="3"/>
      <c r="H254" s="65"/>
    </row>
    <row r="255" spans="1:8" x14ac:dyDescent="0.25">
      <c r="A255" s="2"/>
      <c r="B255" s="2"/>
      <c r="C255" s="106"/>
      <c r="D255" s="106"/>
      <c r="E255" s="189"/>
      <c r="F255" s="3"/>
      <c r="G255" s="3"/>
      <c r="H255" s="65"/>
    </row>
    <row r="256" spans="1:8" x14ac:dyDescent="0.25">
      <c r="A256" s="2"/>
      <c r="B256" s="2"/>
      <c r="C256" s="106"/>
      <c r="D256" s="106"/>
      <c r="E256" s="189"/>
      <c r="F256" s="3"/>
      <c r="G256" s="3"/>
      <c r="H256" s="65"/>
    </row>
    <row r="257" spans="1:8" x14ac:dyDescent="0.25">
      <c r="A257" s="2"/>
      <c r="B257" s="2"/>
      <c r="C257" s="106"/>
      <c r="D257" s="106"/>
      <c r="E257" s="189"/>
      <c r="F257" s="3"/>
      <c r="G257" s="3"/>
      <c r="H257" s="65"/>
    </row>
    <row r="258" spans="1:8" x14ac:dyDescent="0.25">
      <c r="A258" s="2"/>
      <c r="B258" s="2"/>
      <c r="C258" s="106"/>
      <c r="D258" s="106"/>
      <c r="E258" s="189"/>
      <c r="F258" s="3"/>
      <c r="G258" s="3"/>
      <c r="H258" s="65"/>
    </row>
    <row r="259" spans="1:8" x14ac:dyDescent="0.25">
      <c r="A259" s="2"/>
      <c r="B259" s="2"/>
      <c r="C259" s="106"/>
      <c r="D259" s="106"/>
      <c r="E259" s="189"/>
      <c r="F259" s="3"/>
      <c r="G259" s="3"/>
      <c r="H259" s="65"/>
    </row>
    <row r="260" spans="1:8" x14ac:dyDescent="0.25">
      <c r="A260" s="2"/>
      <c r="B260" s="2"/>
      <c r="C260" s="106"/>
      <c r="D260" s="106"/>
      <c r="E260" s="189"/>
      <c r="F260" s="3"/>
      <c r="G260" s="3"/>
      <c r="H260" s="65"/>
    </row>
    <row r="261" spans="1:8" x14ac:dyDescent="0.25">
      <c r="A261" s="2"/>
      <c r="B261" s="2"/>
      <c r="C261" s="106"/>
      <c r="D261" s="106"/>
      <c r="E261" s="189"/>
      <c r="F261" s="3"/>
      <c r="G261" s="3"/>
      <c r="H261" s="65"/>
    </row>
    <row r="262" spans="1:8" x14ac:dyDescent="0.25">
      <c r="A262" s="2"/>
      <c r="B262" s="2"/>
      <c r="C262" s="106"/>
      <c r="D262" s="106"/>
      <c r="E262" s="189"/>
      <c r="F262" s="3"/>
      <c r="G262" s="3"/>
      <c r="H262" s="65"/>
    </row>
    <row r="263" spans="1:8" x14ac:dyDescent="0.25">
      <c r="A263" s="2"/>
      <c r="B263" s="2"/>
      <c r="C263" s="106"/>
      <c r="D263" s="106"/>
      <c r="E263" s="189"/>
      <c r="F263" s="3"/>
      <c r="G263" s="3"/>
      <c r="H263" s="65"/>
    </row>
    <row r="264" spans="1:8" x14ac:dyDescent="0.25">
      <c r="A264" s="2"/>
      <c r="B264" s="2"/>
      <c r="C264" s="106"/>
      <c r="D264" s="106"/>
      <c r="E264" s="189"/>
      <c r="F264" s="3"/>
      <c r="G264" s="3"/>
      <c r="H264" s="65"/>
    </row>
    <row r="265" spans="1:8" x14ac:dyDescent="0.25">
      <c r="A265" s="2"/>
      <c r="B265" s="2"/>
      <c r="C265" s="106"/>
      <c r="D265" s="106"/>
      <c r="E265" s="189"/>
      <c r="F265" s="3"/>
      <c r="G265" s="3"/>
      <c r="H265" s="65"/>
    </row>
    <row r="266" spans="1:8" x14ac:dyDescent="0.25">
      <c r="A266" s="2"/>
      <c r="B266" s="2"/>
      <c r="C266" s="106"/>
      <c r="D266" s="106"/>
      <c r="E266" s="189"/>
      <c r="F266" s="3"/>
      <c r="G266" s="3"/>
      <c r="H266" s="65"/>
    </row>
    <row r="267" spans="1:8" x14ac:dyDescent="0.25">
      <c r="A267" s="2"/>
      <c r="B267" s="2"/>
      <c r="C267" s="106"/>
      <c r="D267" s="106"/>
      <c r="E267" s="189"/>
      <c r="F267" s="3"/>
      <c r="G267" s="3"/>
      <c r="H267" s="65"/>
    </row>
    <row r="268" spans="1:8" x14ac:dyDescent="0.25">
      <c r="A268" s="2"/>
      <c r="B268" s="2"/>
      <c r="C268" s="106"/>
      <c r="D268" s="106"/>
      <c r="E268" s="189"/>
      <c r="F268" s="3"/>
      <c r="G268" s="3"/>
      <c r="H268" s="65"/>
    </row>
    <row r="269" spans="1:8" x14ac:dyDescent="0.25">
      <c r="A269" s="2"/>
      <c r="B269" s="2"/>
      <c r="C269" s="106"/>
      <c r="D269" s="106"/>
      <c r="E269" s="189"/>
      <c r="F269" s="3"/>
      <c r="G269" s="3"/>
      <c r="H269" s="65"/>
    </row>
    <row r="270" spans="1:8" x14ac:dyDescent="0.25">
      <c r="A270" s="2"/>
      <c r="B270" s="2"/>
      <c r="C270" s="106"/>
      <c r="D270" s="106"/>
      <c r="E270" s="189"/>
      <c r="F270" s="3"/>
      <c r="G270" s="3"/>
      <c r="H270" s="65"/>
    </row>
    <row r="271" spans="1:8" x14ac:dyDescent="0.25">
      <c r="A271" s="2"/>
      <c r="B271" s="2"/>
      <c r="C271" s="106"/>
      <c r="D271" s="106"/>
      <c r="E271" s="189"/>
      <c r="F271" s="3"/>
      <c r="G271" s="3"/>
      <c r="H271" s="65"/>
    </row>
    <row r="272" spans="1:8" x14ac:dyDescent="0.25">
      <c r="A272" s="2"/>
      <c r="B272" s="2"/>
      <c r="C272" s="106"/>
      <c r="D272" s="106"/>
      <c r="E272" s="189"/>
      <c r="F272" s="3"/>
      <c r="G272" s="3"/>
      <c r="H272" s="65"/>
    </row>
    <row r="273" spans="1:8" x14ac:dyDescent="0.25">
      <c r="A273" s="2"/>
      <c r="B273" s="2"/>
      <c r="C273" s="106"/>
      <c r="D273" s="106"/>
      <c r="E273" s="189"/>
      <c r="F273" s="3"/>
      <c r="G273" s="3"/>
      <c r="H273" s="65"/>
    </row>
    <row r="274" spans="1:8" x14ac:dyDescent="0.25">
      <c r="A274" s="2"/>
      <c r="B274" s="2"/>
      <c r="C274" s="106"/>
      <c r="D274" s="106"/>
      <c r="E274" s="189"/>
      <c r="F274" s="3"/>
      <c r="G274" s="3"/>
      <c r="H274" s="65"/>
    </row>
    <row r="275" spans="1:8" x14ac:dyDescent="0.25">
      <c r="A275" s="2"/>
      <c r="B275" s="2"/>
      <c r="C275" s="106"/>
      <c r="D275" s="106"/>
      <c r="E275" s="189"/>
      <c r="F275" s="3"/>
      <c r="G275" s="3"/>
      <c r="H275" s="65"/>
    </row>
    <row r="276" spans="1:8" x14ac:dyDescent="0.25">
      <c r="A276" s="2"/>
      <c r="B276" s="2"/>
      <c r="C276" s="106"/>
      <c r="D276" s="106"/>
      <c r="E276" s="189"/>
      <c r="F276" s="3"/>
      <c r="G276" s="3"/>
      <c r="H276" s="65"/>
    </row>
    <row r="277" spans="1:8" x14ac:dyDescent="0.25">
      <c r="A277" s="2"/>
      <c r="B277" s="2"/>
      <c r="C277" s="106"/>
      <c r="D277" s="106"/>
      <c r="E277" s="189"/>
      <c r="F277" s="3"/>
      <c r="G277" s="3"/>
      <c r="H277" s="65"/>
    </row>
    <row r="278" spans="1:8" x14ac:dyDescent="0.25">
      <c r="A278" s="2"/>
      <c r="B278" s="2"/>
      <c r="C278" s="106"/>
      <c r="D278" s="106"/>
      <c r="E278" s="189"/>
      <c r="F278" s="3"/>
      <c r="G278" s="3"/>
      <c r="H278" s="65"/>
    </row>
    <row r="279" spans="1:8" x14ac:dyDescent="0.25">
      <c r="A279" s="2"/>
      <c r="B279" s="2"/>
      <c r="C279" s="106"/>
      <c r="D279" s="106"/>
      <c r="E279" s="189"/>
      <c r="F279" s="3"/>
      <c r="G279" s="3"/>
      <c r="H279" s="65"/>
    </row>
    <row r="280" spans="1:8" x14ac:dyDescent="0.25">
      <c r="A280" s="2"/>
      <c r="B280" s="2"/>
      <c r="C280" s="106"/>
      <c r="D280" s="106"/>
      <c r="E280" s="189"/>
      <c r="F280" s="3"/>
      <c r="G280" s="3"/>
      <c r="H280" s="65"/>
    </row>
    <row r="281" spans="1:8" x14ac:dyDescent="0.25">
      <c r="A281" s="2"/>
      <c r="B281" s="2"/>
      <c r="C281" s="106"/>
      <c r="D281" s="106"/>
      <c r="E281" s="189"/>
      <c r="F281" s="3"/>
      <c r="G281" s="3"/>
      <c r="H281" s="65"/>
    </row>
  </sheetData>
  <sheetProtection selectLockedCells="1" selectUnlockedCells="1"/>
  <mergeCells count="4">
    <mergeCell ref="C5:E5"/>
    <mergeCell ref="F5:H5"/>
    <mergeCell ref="C78:E78"/>
    <mergeCell ref="F78:H78"/>
  </mergeCells>
  <printOptions horizontalCentered="1"/>
  <pageMargins left="0.51181102362204722" right="0.39370078740157483" top="0.51181102362204722" bottom="0.51181102362204722" header="0.51181102362204722" footer="0.31496062992125984"/>
  <pageSetup paperSize="9" scale="54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9"/>
  <sheetViews>
    <sheetView view="pageBreakPreview" topLeftCell="B1" zoomScale="80" zoomScaleSheetLayoutView="80" workbookViewId="0">
      <selection activeCell="E1" sqref="E1"/>
    </sheetView>
  </sheetViews>
  <sheetFormatPr defaultColWidth="11.5703125" defaultRowHeight="15.75" x14ac:dyDescent="0.25"/>
  <cols>
    <col min="1" max="1" width="10.42578125" style="2" customWidth="1"/>
    <col min="2" max="2" width="71.140625" style="2" customWidth="1"/>
    <col min="3" max="3" width="7.85546875" style="2" customWidth="1"/>
    <col min="4" max="4" width="15.42578125" style="2" customWidth="1"/>
    <col min="5" max="5" width="15.140625" style="2" customWidth="1"/>
    <col min="6" max="250" width="9.140625" style="2" customWidth="1"/>
  </cols>
  <sheetData>
    <row r="1" spans="1:5" ht="18.75" x14ac:dyDescent="0.25">
      <c r="E1" s="4" t="s">
        <v>902</v>
      </c>
    </row>
    <row r="2" spans="1:5" x14ac:dyDescent="0.25">
      <c r="E2" s="5" t="str">
        <f>+'2 Össz'!H2</f>
        <v>a 2/2020.(II.27. ) önkormányzati rendelethez</v>
      </c>
    </row>
    <row r="3" spans="1:5" x14ac:dyDescent="0.25">
      <c r="D3" s="4"/>
      <c r="E3" s="4"/>
    </row>
    <row r="4" spans="1:5" ht="24" customHeight="1" x14ac:dyDescent="0.3">
      <c r="B4" s="1" t="s">
        <v>767</v>
      </c>
      <c r="C4" s="71"/>
      <c r="D4" s="71"/>
      <c r="E4" s="71"/>
    </row>
    <row r="5" spans="1:5" ht="18.75" x14ac:dyDescent="0.3">
      <c r="B5" s="1"/>
      <c r="C5" s="72"/>
      <c r="D5" s="72"/>
      <c r="E5" s="72"/>
    </row>
    <row r="6" spans="1:5" x14ac:dyDescent="0.25">
      <c r="A6" s="2" t="s">
        <v>325</v>
      </c>
      <c r="B6" s="29" t="s">
        <v>712</v>
      </c>
      <c r="C6" s="73"/>
      <c r="D6" s="73"/>
      <c r="E6" s="73"/>
    </row>
    <row r="7" spans="1:5" x14ac:dyDescent="0.25">
      <c r="A7" s="2" t="s">
        <v>326</v>
      </c>
    </row>
    <row r="8" spans="1:5" ht="31.5" x14ac:dyDescent="0.25">
      <c r="B8" s="347" t="s">
        <v>8</v>
      </c>
      <c r="C8" s="348" t="s">
        <v>33</v>
      </c>
      <c r="D8" s="349" t="s">
        <v>6</v>
      </c>
      <c r="E8" s="442" t="s">
        <v>7</v>
      </c>
    </row>
    <row r="9" spans="1:5" x14ac:dyDescent="0.25">
      <c r="A9" s="2" t="s">
        <v>327</v>
      </c>
      <c r="B9" s="366" t="s">
        <v>328</v>
      </c>
      <c r="C9" s="367" t="s">
        <v>209</v>
      </c>
      <c r="D9" s="259">
        <v>55000000</v>
      </c>
      <c r="E9" s="443">
        <v>55000000</v>
      </c>
    </row>
    <row r="10" spans="1:5" x14ac:dyDescent="0.25">
      <c r="B10" s="366" t="s">
        <v>329</v>
      </c>
      <c r="C10" s="367" t="s">
        <v>209</v>
      </c>
      <c r="D10" s="259"/>
      <c r="E10" s="443"/>
    </row>
    <row r="11" spans="1:5" x14ac:dyDescent="0.25">
      <c r="A11" s="2" t="s">
        <v>330</v>
      </c>
      <c r="B11" s="366" t="s">
        <v>331</v>
      </c>
      <c r="C11" s="367" t="s">
        <v>209</v>
      </c>
      <c r="D11" s="259">
        <v>65000000</v>
      </c>
      <c r="E11" s="443">
        <v>65000000</v>
      </c>
    </row>
    <row r="12" spans="1:5" x14ac:dyDescent="0.25">
      <c r="A12" s="2" t="s">
        <v>332</v>
      </c>
      <c r="B12" s="366" t="s">
        <v>333</v>
      </c>
      <c r="C12" s="367" t="s">
        <v>209</v>
      </c>
      <c r="D12" s="259">
        <v>2800000</v>
      </c>
      <c r="E12" s="443">
        <v>2800000</v>
      </c>
    </row>
    <row r="13" spans="1:5" s="77" customFormat="1" x14ac:dyDescent="0.25">
      <c r="A13" s="2"/>
      <c r="B13" s="261" t="s">
        <v>334</v>
      </c>
      <c r="C13" s="356" t="s">
        <v>209</v>
      </c>
      <c r="D13" s="262">
        <f>SUM(D9:D12)</f>
        <v>122800000</v>
      </c>
      <c r="E13" s="444">
        <f>SUM(E9:E12)</f>
        <v>122800000</v>
      </c>
    </row>
    <row r="14" spans="1:5" x14ac:dyDescent="0.25">
      <c r="B14" s="366" t="s">
        <v>335</v>
      </c>
      <c r="C14" s="351" t="s">
        <v>336</v>
      </c>
      <c r="D14" s="259">
        <f>SUM(D15:D16)</f>
        <v>350000000</v>
      </c>
      <c r="E14" s="443">
        <f>SUM(E15:E16)</f>
        <v>350000000</v>
      </c>
    </row>
    <row r="15" spans="1:5" ht="31.5" x14ac:dyDescent="0.25">
      <c r="A15" s="2" t="s">
        <v>337</v>
      </c>
      <c r="B15" s="368" t="s">
        <v>338</v>
      </c>
      <c r="C15" s="369" t="s">
        <v>336</v>
      </c>
      <c r="D15" s="370">
        <v>350000000</v>
      </c>
      <c r="E15" s="445">
        <v>350000000</v>
      </c>
    </row>
    <row r="16" spans="1:5" ht="31.5" hidden="1" x14ac:dyDescent="0.25">
      <c r="B16" s="368" t="s">
        <v>339</v>
      </c>
      <c r="C16" s="369" t="s">
        <v>336</v>
      </c>
      <c r="D16" s="370"/>
      <c r="E16" s="445"/>
    </row>
    <row r="17" spans="1:5" x14ac:dyDescent="0.25">
      <c r="A17" s="2" t="s">
        <v>341</v>
      </c>
      <c r="B17" s="371" t="s">
        <v>738</v>
      </c>
      <c r="C17" s="369" t="s">
        <v>340</v>
      </c>
      <c r="D17" s="370">
        <v>26500000</v>
      </c>
      <c r="E17" s="370">
        <v>26500000</v>
      </c>
    </row>
    <row r="18" spans="1:5" hidden="1" x14ac:dyDescent="0.25">
      <c r="B18" s="368" t="s">
        <v>342</v>
      </c>
      <c r="C18" s="369" t="s">
        <v>340</v>
      </c>
      <c r="D18" s="259"/>
      <c r="E18" s="443"/>
    </row>
    <row r="19" spans="1:5" hidden="1" x14ac:dyDescent="0.25">
      <c r="B19" s="368" t="s">
        <v>343</v>
      </c>
      <c r="C19" s="369" t="s">
        <v>340</v>
      </c>
      <c r="D19" s="259"/>
      <c r="E19" s="443"/>
    </row>
    <row r="20" spans="1:5" x14ac:dyDescent="0.25">
      <c r="B20" s="371" t="s">
        <v>344</v>
      </c>
      <c r="C20" s="372" t="s">
        <v>345</v>
      </c>
      <c r="D20" s="259">
        <f>SUM(D21:D22)</f>
        <v>2500000</v>
      </c>
      <c r="E20" s="443">
        <f>SUM(E21:E22)</f>
        <v>2500000</v>
      </c>
    </row>
    <row r="21" spans="1:5" x14ac:dyDescent="0.25">
      <c r="A21" s="2" t="s">
        <v>346</v>
      </c>
      <c r="B21" s="368" t="s">
        <v>347</v>
      </c>
      <c r="C21" s="369" t="s">
        <v>345</v>
      </c>
      <c r="D21" s="370">
        <v>2500000</v>
      </c>
      <c r="E21" s="445">
        <v>2500000</v>
      </c>
    </row>
    <row r="22" spans="1:5" hidden="1" x14ac:dyDescent="0.25">
      <c r="B22" s="368" t="s">
        <v>348</v>
      </c>
      <c r="C22" s="369" t="s">
        <v>345</v>
      </c>
      <c r="D22" s="370"/>
      <c r="E22" s="445"/>
    </row>
    <row r="23" spans="1:5" s="77" customFormat="1" x14ac:dyDescent="0.25">
      <c r="A23" s="2"/>
      <c r="B23" s="261" t="s">
        <v>349</v>
      </c>
      <c r="C23" s="356" t="s">
        <v>211</v>
      </c>
      <c r="D23" s="262">
        <f>+D20+D17+D14</f>
        <v>379000000</v>
      </c>
      <c r="E23" s="444">
        <f>+E20+E17+E14</f>
        <v>379000000</v>
      </c>
    </row>
    <row r="24" spans="1:5" hidden="1" x14ac:dyDescent="0.25">
      <c r="B24" s="366" t="s">
        <v>350</v>
      </c>
      <c r="C24" s="367" t="s">
        <v>213</v>
      </c>
      <c r="D24" s="259"/>
      <c r="E24" s="443"/>
    </row>
    <row r="25" spans="1:5" hidden="1" x14ac:dyDescent="0.25">
      <c r="B25" s="366" t="s">
        <v>351</v>
      </c>
      <c r="C25" s="367" t="s">
        <v>213</v>
      </c>
      <c r="D25" s="259"/>
      <c r="E25" s="443"/>
    </row>
    <row r="26" spans="1:5" hidden="1" x14ac:dyDescent="0.25">
      <c r="B26" s="366" t="s">
        <v>352</v>
      </c>
      <c r="C26" s="367" t="s">
        <v>213</v>
      </c>
      <c r="D26" s="259"/>
      <c r="E26" s="443"/>
    </row>
    <row r="27" spans="1:5" hidden="1" x14ac:dyDescent="0.25">
      <c r="B27" s="366" t="s">
        <v>353</v>
      </c>
      <c r="C27" s="367" t="s">
        <v>213</v>
      </c>
      <c r="D27" s="259"/>
      <c r="E27" s="443"/>
    </row>
    <row r="28" spans="1:5" hidden="1" x14ac:dyDescent="0.25">
      <c r="B28" s="366" t="s">
        <v>354</v>
      </c>
      <c r="C28" s="367" t="s">
        <v>213</v>
      </c>
      <c r="D28" s="259"/>
      <c r="E28" s="443"/>
    </row>
    <row r="29" spans="1:5" hidden="1" x14ac:dyDescent="0.25">
      <c r="B29" s="366" t="s">
        <v>355</v>
      </c>
      <c r="C29" s="367" t="s">
        <v>213</v>
      </c>
      <c r="D29" s="259"/>
      <c r="E29" s="443"/>
    </row>
    <row r="30" spans="1:5" hidden="1" x14ac:dyDescent="0.25">
      <c r="B30" s="366" t="s">
        <v>356</v>
      </c>
      <c r="C30" s="367" t="s">
        <v>213</v>
      </c>
      <c r="D30" s="259"/>
      <c r="E30" s="443"/>
    </row>
    <row r="31" spans="1:5" ht="31.5" x14ac:dyDescent="0.25">
      <c r="B31" s="366" t="s">
        <v>357</v>
      </c>
      <c r="C31" s="367" t="s">
        <v>213</v>
      </c>
      <c r="D31" s="259">
        <v>50000</v>
      </c>
      <c r="E31" s="443">
        <v>50000</v>
      </c>
    </row>
    <row r="32" spans="1:5" x14ac:dyDescent="0.25">
      <c r="B32" s="366" t="s">
        <v>359</v>
      </c>
      <c r="C32" s="367" t="s">
        <v>213</v>
      </c>
      <c r="D32" s="259">
        <v>50000</v>
      </c>
      <c r="E32" s="443">
        <v>50000</v>
      </c>
    </row>
    <row r="33" spans="1:5" x14ac:dyDescent="0.25">
      <c r="A33" s="2" t="s">
        <v>358</v>
      </c>
      <c r="B33" s="366" t="s">
        <v>743</v>
      </c>
      <c r="C33" s="367" t="s">
        <v>213</v>
      </c>
      <c r="D33" s="259">
        <v>400000</v>
      </c>
      <c r="E33" s="443">
        <v>400000</v>
      </c>
    </row>
    <row r="34" spans="1:5" s="77" customFormat="1" x14ac:dyDescent="0.25">
      <c r="A34" s="2"/>
      <c r="B34" s="261" t="s">
        <v>360</v>
      </c>
      <c r="C34" s="356" t="s">
        <v>213</v>
      </c>
      <c r="D34" s="262">
        <f>SUM(D24:D33)</f>
        <v>500000</v>
      </c>
      <c r="E34" s="444">
        <f>SUM(E24:E33)</f>
        <v>500000</v>
      </c>
    </row>
    <row r="36" spans="1:5" x14ac:dyDescent="0.25">
      <c r="D36" s="3"/>
      <c r="E36" s="3"/>
    </row>
    <row r="37" spans="1:5" ht="31.5" x14ac:dyDescent="0.25">
      <c r="A37" s="2" t="s">
        <v>325</v>
      </c>
      <c r="B37" s="347" t="s">
        <v>8</v>
      </c>
      <c r="C37" s="348" t="s">
        <v>173</v>
      </c>
      <c r="D37" s="349" t="s">
        <v>6</v>
      </c>
      <c r="E37" s="349" t="s">
        <v>6</v>
      </c>
    </row>
    <row r="38" spans="1:5" x14ac:dyDescent="0.25">
      <c r="A38" s="2" t="s">
        <v>361</v>
      </c>
      <c r="B38" s="350" t="s">
        <v>362</v>
      </c>
      <c r="C38" s="351" t="s">
        <v>175</v>
      </c>
      <c r="D38" s="352">
        <v>159739500</v>
      </c>
      <c r="E38" s="352">
        <f>159739500+441566</f>
        <v>160181066</v>
      </c>
    </row>
    <row r="39" spans="1:5" x14ac:dyDescent="0.25">
      <c r="B39" s="350" t="s">
        <v>363</v>
      </c>
      <c r="C39" s="351" t="s">
        <v>175</v>
      </c>
      <c r="D39" s="352">
        <f>SUM(D40:D46)</f>
        <v>68003873</v>
      </c>
      <c r="E39" s="352">
        <f>SUM(E40:E46)</f>
        <v>68003873</v>
      </c>
    </row>
    <row r="40" spans="1:5" ht="31.5" x14ac:dyDescent="0.25">
      <c r="B40" s="353" t="s">
        <v>364</v>
      </c>
      <c r="C40" s="351" t="s">
        <v>175</v>
      </c>
      <c r="D40" s="352">
        <v>13104111</v>
      </c>
      <c r="E40" s="352">
        <v>13104111</v>
      </c>
    </row>
    <row r="41" spans="1:5" x14ac:dyDescent="0.25">
      <c r="B41" s="353" t="s">
        <v>365</v>
      </c>
      <c r="C41" s="351" t="s">
        <v>175</v>
      </c>
      <c r="D41" s="352">
        <v>28400000</v>
      </c>
      <c r="E41" s="352">
        <v>28400000</v>
      </c>
    </row>
    <row r="42" spans="1:5" x14ac:dyDescent="0.25">
      <c r="B42" s="353" t="s">
        <v>366</v>
      </c>
      <c r="C42" s="351" t="s">
        <v>175</v>
      </c>
      <c r="D42" s="352">
        <v>6500000</v>
      </c>
      <c r="E42" s="352">
        <v>6500000</v>
      </c>
    </row>
    <row r="43" spans="1:5" x14ac:dyDescent="0.25">
      <c r="B43" s="353" t="s">
        <v>367</v>
      </c>
      <c r="C43" s="351" t="s">
        <v>175</v>
      </c>
      <c r="D43" s="352">
        <v>17514150</v>
      </c>
      <c r="E43" s="352">
        <v>17514150</v>
      </c>
    </row>
    <row r="44" spans="1:5" x14ac:dyDescent="0.25">
      <c r="B44" s="353" t="s">
        <v>368</v>
      </c>
      <c r="C44" s="351" t="s">
        <v>175</v>
      </c>
      <c r="D44" s="352">
        <v>0</v>
      </c>
      <c r="E44" s="352">
        <v>0</v>
      </c>
    </row>
    <row r="45" spans="1:5" x14ac:dyDescent="0.25">
      <c r="B45" s="354" t="s">
        <v>370</v>
      </c>
      <c r="C45" s="351" t="s">
        <v>175</v>
      </c>
      <c r="D45" s="352">
        <v>0</v>
      </c>
      <c r="E45" s="352">
        <v>0</v>
      </c>
    </row>
    <row r="46" spans="1:5" x14ac:dyDescent="0.25">
      <c r="B46" s="354" t="s">
        <v>371</v>
      </c>
      <c r="C46" s="351" t="s">
        <v>175</v>
      </c>
      <c r="D46" s="352">
        <v>2485612</v>
      </c>
      <c r="E46" s="352">
        <v>2485612</v>
      </c>
    </row>
    <row r="47" spans="1:5" x14ac:dyDescent="0.25">
      <c r="B47" s="350" t="s">
        <v>369</v>
      </c>
      <c r="C47" s="351" t="s">
        <v>175</v>
      </c>
      <c r="D47" s="352">
        <v>1546658</v>
      </c>
      <c r="E47" s="352">
        <v>1546658</v>
      </c>
    </row>
    <row r="48" spans="1:5" x14ac:dyDescent="0.25">
      <c r="B48" s="350" t="s">
        <v>713</v>
      </c>
      <c r="C48" s="351" t="s">
        <v>175</v>
      </c>
      <c r="D48" s="352">
        <v>1793900</v>
      </c>
      <c r="E48" s="352">
        <v>1793900</v>
      </c>
    </row>
    <row r="49" spans="1:5" x14ac:dyDescent="0.25">
      <c r="B49" s="350"/>
      <c r="C49" s="351" t="s">
        <v>175</v>
      </c>
      <c r="D49" s="352"/>
      <c r="E49" s="352"/>
    </row>
    <row r="50" spans="1:5" s="84" customFormat="1" x14ac:dyDescent="0.25">
      <c r="A50" s="2" t="s">
        <v>372</v>
      </c>
      <c r="B50" s="355" t="s">
        <v>373</v>
      </c>
      <c r="C50" s="356" t="s">
        <v>175</v>
      </c>
      <c r="D50" s="357">
        <f>SUM(D38:D49)-D39</f>
        <v>231083931</v>
      </c>
      <c r="E50" s="357">
        <f>SUM(E38:E49)-E39</f>
        <v>231525497</v>
      </c>
    </row>
    <row r="51" spans="1:5" s="16" customFormat="1" x14ac:dyDescent="0.25">
      <c r="A51" s="2"/>
      <c r="B51" s="358" t="s">
        <v>374</v>
      </c>
      <c r="C51" s="351" t="s">
        <v>177</v>
      </c>
      <c r="D51" s="352">
        <v>112347550</v>
      </c>
      <c r="E51" s="352">
        <v>112347550</v>
      </c>
    </row>
    <row r="52" spans="1:5" s="16" customFormat="1" x14ac:dyDescent="0.25">
      <c r="A52" s="2"/>
      <c r="B52" s="358" t="s">
        <v>375</v>
      </c>
      <c r="C52" s="351" t="s">
        <v>177</v>
      </c>
      <c r="D52" s="352">
        <v>43200000</v>
      </c>
      <c r="E52" s="352">
        <v>43200000</v>
      </c>
    </row>
    <row r="53" spans="1:5" s="16" customFormat="1" x14ac:dyDescent="0.25">
      <c r="A53" s="2"/>
      <c r="B53" s="358" t="s">
        <v>376</v>
      </c>
      <c r="C53" s="351" t="s">
        <v>177</v>
      </c>
      <c r="D53" s="352">
        <v>28343400</v>
      </c>
      <c r="E53" s="352">
        <v>28343400</v>
      </c>
    </row>
    <row r="54" spans="1:5" s="16" customFormat="1" x14ac:dyDescent="0.25">
      <c r="A54" s="2"/>
      <c r="B54" s="358" t="s">
        <v>377</v>
      </c>
      <c r="C54" s="351" t="s">
        <v>177</v>
      </c>
      <c r="D54" s="352">
        <f>2776900+1447300</f>
        <v>4224200</v>
      </c>
      <c r="E54" s="352">
        <f>2776900+1447300</f>
        <v>4224200</v>
      </c>
    </row>
    <row r="55" spans="1:5" s="16" customFormat="1" x14ac:dyDescent="0.25">
      <c r="A55" s="2"/>
      <c r="B55" s="350"/>
      <c r="C55" s="351" t="s">
        <v>177</v>
      </c>
      <c r="D55" s="352"/>
      <c r="E55" s="352"/>
    </row>
    <row r="56" spans="1:5" s="84" customFormat="1" ht="31.5" x14ac:dyDescent="0.25">
      <c r="A56" s="2" t="s">
        <v>378</v>
      </c>
      <c r="B56" s="261" t="s">
        <v>379</v>
      </c>
      <c r="C56" s="356" t="s">
        <v>177</v>
      </c>
      <c r="D56" s="357">
        <f>SUM(D51:D55)</f>
        <v>188115150</v>
      </c>
      <c r="E56" s="357">
        <f>SUM(E51:E55)</f>
        <v>188115150</v>
      </c>
    </row>
    <row r="57" spans="1:5" s="16" customFormat="1" x14ac:dyDescent="0.25">
      <c r="A57" s="2"/>
      <c r="B57" s="350" t="s">
        <v>380</v>
      </c>
      <c r="C57" s="351" t="s">
        <v>179</v>
      </c>
      <c r="D57" s="352">
        <v>82275000</v>
      </c>
      <c r="E57" s="352">
        <f>82275000</f>
        <v>82275000</v>
      </c>
    </row>
    <row r="58" spans="1:5" s="16" customFormat="1" x14ac:dyDescent="0.25">
      <c r="A58" s="2"/>
      <c r="B58" s="359" t="s">
        <v>381</v>
      </c>
      <c r="C58" s="351" t="s">
        <v>179</v>
      </c>
      <c r="D58" s="352">
        <v>5292000</v>
      </c>
      <c r="E58" s="352">
        <v>5292000</v>
      </c>
    </row>
    <row r="59" spans="1:5" s="16" customFormat="1" x14ac:dyDescent="0.25">
      <c r="A59" s="2"/>
      <c r="B59" s="359" t="s">
        <v>382</v>
      </c>
      <c r="C59" s="351" t="s">
        <v>179</v>
      </c>
      <c r="D59" s="352">
        <v>24420000</v>
      </c>
      <c r="E59" s="352">
        <v>24420000</v>
      </c>
    </row>
    <row r="60" spans="1:5" s="16" customFormat="1" x14ac:dyDescent="0.25">
      <c r="A60" s="2"/>
      <c r="B60" s="350" t="s">
        <v>383</v>
      </c>
      <c r="C60" s="351" t="s">
        <v>179</v>
      </c>
      <c r="D60" s="352">
        <v>8496800</v>
      </c>
      <c r="E60" s="352">
        <v>8496800</v>
      </c>
    </row>
    <row r="61" spans="1:5" s="16" customFormat="1" x14ac:dyDescent="0.25">
      <c r="A61" s="2"/>
      <c r="B61" s="350" t="s">
        <v>384</v>
      </c>
      <c r="C61" s="351" t="s">
        <v>179</v>
      </c>
      <c r="D61" s="352">
        <f>50000+8250000</f>
        <v>8300000</v>
      </c>
      <c r="E61" s="352">
        <f>50000+8250000</f>
        <v>8300000</v>
      </c>
    </row>
    <row r="62" spans="1:5" s="16" customFormat="1" x14ac:dyDescent="0.25">
      <c r="A62" s="2"/>
      <c r="B62" s="350" t="s">
        <v>385</v>
      </c>
      <c r="C62" s="351" t="s">
        <v>179</v>
      </c>
      <c r="D62" s="352">
        <v>6460000</v>
      </c>
      <c r="E62" s="352">
        <v>6460000</v>
      </c>
    </row>
    <row r="63" spans="1:5" s="16" customFormat="1" x14ac:dyDescent="0.25">
      <c r="A63" s="2"/>
      <c r="B63" s="350" t="s">
        <v>386</v>
      </c>
      <c r="C63" s="351" t="s">
        <v>179</v>
      </c>
      <c r="D63" s="352">
        <v>6201000</v>
      </c>
      <c r="E63" s="352">
        <v>6201000</v>
      </c>
    </row>
    <row r="64" spans="1:5" s="16" customFormat="1" x14ac:dyDescent="0.25">
      <c r="A64" s="2"/>
      <c r="B64" s="350" t="s">
        <v>387</v>
      </c>
      <c r="C64" s="351" t="s">
        <v>179</v>
      </c>
      <c r="D64" s="352">
        <f>2000000+8820000</f>
        <v>10820000</v>
      </c>
      <c r="E64" s="352">
        <f>2000000+8820000</f>
        <v>10820000</v>
      </c>
    </row>
    <row r="65" spans="1:5" s="16" customFormat="1" x14ac:dyDescent="0.25">
      <c r="A65" s="2"/>
      <c r="B65" s="350" t="s">
        <v>742</v>
      </c>
      <c r="C65" s="351" t="s">
        <v>179</v>
      </c>
      <c r="D65" s="352">
        <v>12434877</v>
      </c>
      <c r="E65" s="352">
        <v>12434877</v>
      </c>
    </row>
    <row r="66" spans="1:5" s="16" customFormat="1" x14ac:dyDescent="0.25">
      <c r="A66" s="2"/>
      <c r="B66" s="350" t="s">
        <v>388</v>
      </c>
      <c r="C66" s="351" t="s">
        <v>179</v>
      </c>
      <c r="D66" s="352">
        <v>158179640</v>
      </c>
      <c r="E66" s="352">
        <v>158179640</v>
      </c>
    </row>
    <row r="67" spans="1:5" s="16" customFormat="1" x14ac:dyDescent="0.25">
      <c r="A67" s="2"/>
      <c r="B67" s="350" t="s">
        <v>389</v>
      </c>
      <c r="C67" s="351" t="s">
        <v>179</v>
      </c>
      <c r="D67" s="352">
        <v>80383000</v>
      </c>
      <c r="E67" s="352">
        <v>80383000</v>
      </c>
    </row>
    <row r="68" spans="1:5" s="16" customFormat="1" x14ac:dyDescent="0.25">
      <c r="A68" s="2"/>
      <c r="B68" s="350" t="s">
        <v>390</v>
      </c>
      <c r="C68" s="351" t="s">
        <v>179</v>
      </c>
      <c r="D68" s="352">
        <v>82016000</v>
      </c>
      <c r="E68" s="352">
        <v>82016000</v>
      </c>
    </row>
    <row r="69" spans="1:5" s="16" customFormat="1" x14ac:dyDescent="0.25">
      <c r="A69" s="2"/>
      <c r="B69" s="350" t="s">
        <v>391</v>
      </c>
      <c r="C69" s="351" t="s">
        <v>179</v>
      </c>
      <c r="D69" s="352">
        <v>79841474</v>
      </c>
      <c r="E69" s="352">
        <v>79841474</v>
      </c>
    </row>
    <row r="70" spans="1:5" s="16" customFormat="1" x14ac:dyDescent="0.25">
      <c r="A70" s="2"/>
      <c r="B70" s="359" t="s">
        <v>392</v>
      </c>
      <c r="C70" s="351" t="s">
        <v>179</v>
      </c>
      <c r="D70" s="352">
        <v>6997320</v>
      </c>
      <c r="E70" s="352">
        <v>6997320</v>
      </c>
    </row>
    <row r="71" spans="1:5" s="16" customFormat="1" x14ac:dyDescent="0.25">
      <c r="A71" s="2"/>
      <c r="B71" s="350" t="s">
        <v>715</v>
      </c>
      <c r="C71" s="351" t="s">
        <v>179</v>
      </c>
      <c r="D71" s="352">
        <f>8838000+20951000</f>
        <v>29789000</v>
      </c>
      <c r="E71" s="352">
        <f>8838000+20951000</f>
        <v>29789000</v>
      </c>
    </row>
    <row r="72" spans="1:5" s="16" customFormat="1" x14ac:dyDescent="0.25">
      <c r="A72" s="2"/>
      <c r="B72" s="350" t="s">
        <v>714</v>
      </c>
      <c r="C72" s="351" t="s">
        <v>179</v>
      </c>
      <c r="D72" s="352">
        <v>11407000</v>
      </c>
      <c r="E72" s="352">
        <v>11407000</v>
      </c>
    </row>
    <row r="73" spans="1:5" s="16" customFormat="1" x14ac:dyDescent="0.25">
      <c r="A73" s="2"/>
      <c r="B73" s="350" t="s">
        <v>820</v>
      </c>
      <c r="C73" s="351" t="s">
        <v>179</v>
      </c>
      <c r="D73" s="352"/>
      <c r="E73" s="352">
        <f>17508+288701+258149+429864+431938+429866</f>
        <v>1856026</v>
      </c>
    </row>
    <row r="74" spans="1:5" s="16" customFormat="1" x14ac:dyDescent="0.25">
      <c r="A74" s="2"/>
      <c r="B74" s="350" t="s">
        <v>818</v>
      </c>
      <c r="C74" s="351" t="s">
        <v>179</v>
      </c>
      <c r="D74" s="352"/>
      <c r="E74" s="352">
        <f>32526392-E73</f>
        <v>30670366</v>
      </c>
    </row>
    <row r="75" spans="1:5" s="77" customFormat="1" ht="31.5" x14ac:dyDescent="0.25">
      <c r="A75" s="2" t="s">
        <v>393</v>
      </c>
      <c r="B75" s="261" t="s">
        <v>394</v>
      </c>
      <c r="C75" s="356" t="s">
        <v>179</v>
      </c>
      <c r="D75" s="357">
        <f>SUM(D57:D74)</f>
        <v>613313111</v>
      </c>
      <c r="E75" s="357">
        <f>SUM(E57:E74)</f>
        <v>645839503</v>
      </c>
    </row>
    <row r="76" spans="1:5" x14ac:dyDescent="0.25">
      <c r="B76" s="350" t="s">
        <v>395</v>
      </c>
      <c r="C76" s="351" t="s">
        <v>181</v>
      </c>
      <c r="D76" s="352">
        <v>13684689</v>
      </c>
      <c r="E76" s="352">
        <v>13684689</v>
      </c>
    </row>
    <row r="77" spans="1:5" x14ac:dyDescent="0.25">
      <c r="B77" s="350" t="s">
        <v>819</v>
      </c>
      <c r="C77" s="351" t="s">
        <v>181</v>
      </c>
      <c r="D77" s="352"/>
      <c r="E77" s="352">
        <f>289520+303737+303737+329052+359552+359033</f>
        <v>1944631</v>
      </c>
    </row>
    <row r="78" spans="1:5" x14ac:dyDescent="0.25">
      <c r="B78" s="350" t="s">
        <v>396</v>
      </c>
      <c r="C78" s="351" t="s">
        <v>181</v>
      </c>
      <c r="D78" s="352">
        <v>0</v>
      </c>
      <c r="E78" s="352">
        <v>2060000</v>
      </c>
    </row>
    <row r="79" spans="1:5" s="77" customFormat="1" ht="29.85" customHeight="1" x14ac:dyDescent="0.25">
      <c r="A79" s="2" t="s">
        <v>397</v>
      </c>
      <c r="B79" s="261" t="s">
        <v>398</v>
      </c>
      <c r="C79" s="356" t="s">
        <v>181</v>
      </c>
      <c r="D79" s="357">
        <f>SUM(D76:D78)</f>
        <v>13684689</v>
      </c>
      <c r="E79" s="357">
        <f>SUM(E76:E78)</f>
        <v>17689320</v>
      </c>
    </row>
    <row r="80" spans="1:5" hidden="1" x14ac:dyDescent="0.25">
      <c r="B80" s="350"/>
      <c r="C80" s="351"/>
      <c r="D80" s="352"/>
      <c r="E80" s="352"/>
    </row>
    <row r="81" spans="1:5" hidden="1" x14ac:dyDescent="0.25">
      <c r="B81" s="330" t="s">
        <v>399</v>
      </c>
      <c r="C81" s="351" t="s">
        <v>183</v>
      </c>
      <c r="D81" s="352"/>
      <c r="E81" s="352"/>
    </row>
    <row r="82" spans="1:5" hidden="1" x14ac:dyDescent="0.25">
      <c r="B82" s="360" t="s">
        <v>746</v>
      </c>
      <c r="C82" s="351" t="s">
        <v>183</v>
      </c>
      <c r="D82" s="352"/>
      <c r="E82" s="352"/>
    </row>
    <row r="83" spans="1:5" s="86" customFormat="1" ht="17.25" customHeight="1" x14ac:dyDescent="0.25">
      <c r="B83" s="361" t="s">
        <v>400</v>
      </c>
      <c r="C83" s="362" t="s">
        <v>183</v>
      </c>
      <c r="D83" s="363">
        <f>171319202+900000+931000+5533440</f>
        <v>178683642</v>
      </c>
      <c r="E83" s="363">
        <f>171319202+900000+931000+5533440-289520-303737-303737-329052+429866-359552-359033</f>
        <v>177168877</v>
      </c>
    </row>
    <row r="84" spans="1:5" s="84" customFormat="1" x14ac:dyDescent="0.25">
      <c r="A84" s="2" t="s">
        <v>401</v>
      </c>
      <c r="B84" s="261" t="s">
        <v>402</v>
      </c>
      <c r="C84" s="356" t="s">
        <v>183</v>
      </c>
      <c r="D84" s="357">
        <f>SUM(D80:D83)</f>
        <v>178683642</v>
      </c>
      <c r="E84" s="357">
        <f>SUM(E80:E83)</f>
        <v>177168877</v>
      </c>
    </row>
    <row r="85" spans="1:5" x14ac:dyDescent="0.25">
      <c r="A85" s="2" t="s">
        <v>403</v>
      </c>
      <c r="B85" s="350" t="s">
        <v>825</v>
      </c>
      <c r="C85" s="351" t="s">
        <v>185</v>
      </c>
      <c r="D85" s="352"/>
      <c r="E85" s="352"/>
    </row>
    <row r="86" spans="1:5" s="84" customFormat="1" x14ac:dyDescent="0.25">
      <c r="A86" s="2"/>
      <c r="B86" s="261" t="s">
        <v>405</v>
      </c>
      <c r="C86" s="356" t="s">
        <v>185</v>
      </c>
      <c r="D86" s="357">
        <f>SUM(D85:D85)</f>
        <v>0</v>
      </c>
      <c r="E86" s="357">
        <f>SUM(E85:E85)</f>
        <v>0</v>
      </c>
    </row>
    <row r="87" spans="1:5" s="77" customFormat="1" x14ac:dyDescent="0.25">
      <c r="A87" s="2"/>
      <c r="B87" s="364" t="s">
        <v>186</v>
      </c>
      <c r="C87" s="364" t="s">
        <v>187</v>
      </c>
      <c r="D87" s="262">
        <f>+D86+D84+D79+D75+D56+D50</f>
        <v>1224880523</v>
      </c>
      <c r="E87" s="262">
        <f>+E86+E84+E79+E75+E56+E50</f>
        <v>1260338347</v>
      </c>
    </row>
    <row r="88" spans="1:5" x14ac:dyDescent="0.25">
      <c r="D88" s="88"/>
      <c r="E88" s="88"/>
    </row>
    <row r="89" spans="1:5" x14ac:dyDescent="0.25">
      <c r="D89" s="3"/>
      <c r="E89" s="3"/>
    </row>
    <row r="90" spans="1:5" x14ac:dyDescent="0.25">
      <c r="D90" s="89"/>
      <c r="E90" s="89"/>
    </row>
    <row r="91" spans="1:5" x14ac:dyDescent="0.25">
      <c r="D91" s="3"/>
      <c r="E91" s="3"/>
    </row>
    <row r="92" spans="1:5" x14ac:dyDescent="0.25">
      <c r="D92" s="3"/>
      <c r="E92" s="3"/>
    </row>
    <row r="93" spans="1:5" x14ac:dyDescent="0.25">
      <c r="D93" s="3"/>
      <c r="E93" s="3"/>
    </row>
    <row r="94" spans="1:5" x14ac:dyDescent="0.25">
      <c r="D94" s="3"/>
      <c r="E94" s="3"/>
    </row>
    <row r="95" spans="1:5" x14ac:dyDescent="0.25">
      <c r="D95" s="3"/>
      <c r="E95" s="3"/>
    </row>
    <row r="96" spans="1:5" x14ac:dyDescent="0.25">
      <c r="D96" s="3"/>
      <c r="E96" s="3"/>
    </row>
    <row r="97" spans="4:5" x14ac:dyDescent="0.25">
      <c r="D97" s="3"/>
      <c r="E97" s="3"/>
    </row>
    <row r="98" spans="4:5" x14ac:dyDescent="0.25">
      <c r="D98" s="3"/>
      <c r="E98" s="3"/>
    </row>
    <row r="99" spans="4:5" x14ac:dyDescent="0.25">
      <c r="D99" s="3"/>
      <c r="E99" s="3"/>
    </row>
  </sheetData>
  <sheetProtection selectLockedCells="1" selectUnlockedCells="1"/>
  <phoneticPr fontId="70" type="noConversion"/>
  <printOptions horizontalCentered="1"/>
  <pageMargins left="0.70866141732283472" right="0.43307086614173229" top="0.43307086614173229" bottom="0.74803149606299213" header="0.51181102362204722" footer="0.31496062992125984"/>
  <pageSetup paperSize="9" scale="66" firstPageNumber="0" orientation="portrait" horizontalDpi="300" verticalDpi="300" r:id="rId1"/>
  <headerFooter alignWithMargins="0">
    <oddFooter>&amp;R&amp;P</oddFoot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R93"/>
  <sheetViews>
    <sheetView view="pageBreakPreview" zoomScale="80" zoomScaleSheetLayoutView="80" workbookViewId="0">
      <selection activeCell="G1" sqref="G1"/>
    </sheetView>
  </sheetViews>
  <sheetFormatPr defaultColWidth="11.5703125" defaultRowHeight="15.75" x14ac:dyDescent="0.25"/>
  <cols>
    <col min="1" max="1" width="11.7109375" style="2" customWidth="1"/>
    <col min="2" max="2" width="75.42578125" style="25" customWidth="1"/>
    <col min="3" max="3" width="9.140625" style="2" customWidth="1"/>
    <col min="4" max="4" width="16" style="3" customWidth="1"/>
    <col min="5" max="5" width="17.42578125" style="3" customWidth="1"/>
    <col min="6" max="6" width="14.7109375" style="3" customWidth="1"/>
    <col min="7" max="7" width="15" style="3" customWidth="1"/>
    <col min="8" max="8" width="12.5703125" style="2" customWidth="1"/>
    <col min="9" max="252" width="9.140625" style="2" customWidth="1"/>
  </cols>
  <sheetData>
    <row r="1" spans="1:7" ht="18.75" x14ac:dyDescent="0.25">
      <c r="G1" s="4" t="s">
        <v>903</v>
      </c>
    </row>
    <row r="2" spans="1:7" x14ac:dyDescent="0.25">
      <c r="G2" s="5" t="str">
        <f>+'3 Adók és tám'!E2</f>
        <v>a 2/2020.(II.27. ) önkormányzati rendelethez</v>
      </c>
    </row>
    <row r="3" spans="1:7" x14ac:dyDescent="0.25">
      <c r="E3" s="4"/>
      <c r="G3" s="4"/>
    </row>
    <row r="4" spans="1:7" ht="27" customHeight="1" x14ac:dyDescent="0.3">
      <c r="B4" s="411" t="s">
        <v>767</v>
      </c>
      <c r="C4" s="25"/>
      <c r="D4" s="25"/>
      <c r="F4" s="25"/>
    </row>
    <row r="5" spans="1:7" x14ac:dyDescent="0.25">
      <c r="B5" s="31"/>
      <c r="C5" s="30"/>
      <c r="D5" s="30"/>
      <c r="F5" s="30"/>
    </row>
    <row r="6" spans="1:7" ht="12.75" customHeight="1" x14ac:dyDescent="0.25">
      <c r="B6" s="582" t="s">
        <v>719</v>
      </c>
      <c r="C6" s="582"/>
    </row>
    <row r="7" spans="1:7" ht="15.75" customHeight="1" x14ac:dyDescent="0.25">
      <c r="B7" s="412"/>
      <c r="C7" s="30"/>
      <c r="D7" s="32"/>
      <c r="F7" s="32"/>
    </row>
    <row r="8" spans="1:7" ht="39.200000000000003" customHeight="1" x14ac:dyDescent="0.25">
      <c r="D8" s="583" t="s">
        <v>406</v>
      </c>
      <c r="E8" s="583"/>
      <c r="F8" s="583" t="s">
        <v>7</v>
      </c>
      <c r="G8" s="583"/>
    </row>
    <row r="9" spans="1:7" ht="31.5" x14ac:dyDescent="0.25">
      <c r="B9" s="413" t="s">
        <v>8</v>
      </c>
      <c r="C9" s="35" t="s">
        <v>33</v>
      </c>
      <c r="D9" s="37" t="s">
        <v>407</v>
      </c>
      <c r="E9" s="37" t="s">
        <v>408</v>
      </c>
      <c r="F9" s="37" t="s">
        <v>407</v>
      </c>
      <c r="G9" s="37" t="s">
        <v>408</v>
      </c>
    </row>
    <row r="10" spans="1:7" hidden="1" x14ac:dyDescent="0.25">
      <c r="B10" s="54"/>
      <c r="C10" s="52"/>
      <c r="D10" s="13"/>
      <c r="E10" s="13"/>
      <c r="F10" s="13"/>
      <c r="G10" s="13"/>
    </row>
    <row r="11" spans="1:7" hidden="1" x14ac:dyDescent="0.25">
      <c r="B11" s="54"/>
      <c r="C11" s="52"/>
      <c r="D11" s="13"/>
      <c r="E11" s="13"/>
      <c r="F11" s="13"/>
      <c r="G11" s="13"/>
    </row>
    <row r="12" spans="1:7" s="77" customFormat="1" ht="31.5" hidden="1" x14ac:dyDescent="0.25">
      <c r="A12" s="2" t="s">
        <v>325</v>
      </c>
      <c r="B12" s="74" t="s">
        <v>409</v>
      </c>
      <c r="C12" s="75" t="s">
        <v>193</v>
      </c>
      <c r="D12" s="76">
        <f>SUM(D10:D11)</f>
        <v>0</v>
      </c>
      <c r="E12" s="76">
        <f>SUM(E10:E11)</f>
        <v>0</v>
      </c>
      <c r="F12" s="76">
        <f>SUM(F10:F11)</f>
        <v>0</v>
      </c>
      <c r="G12" s="76">
        <f>SUM(G10:G11)</f>
        <v>0</v>
      </c>
    </row>
    <row r="13" spans="1:7" hidden="1" x14ac:dyDescent="0.25">
      <c r="A13" s="2" t="s">
        <v>410</v>
      </c>
      <c r="B13" s="54"/>
      <c r="C13" s="52"/>
      <c r="D13" s="13"/>
      <c r="E13" s="13"/>
      <c r="F13" s="13"/>
      <c r="G13" s="13"/>
    </row>
    <row r="14" spans="1:7" hidden="1" x14ac:dyDescent="0.25">
      <c r="B14" s="54"/>
      <c r="C14" s="52"/>
      <c r="D14" s="13"/>
      <c r="E14" s="13"/>
      <c r="F14" s="13"/>
      <c r="G14" s="13"/>
    </row>
    <row r="15" spans="1:7" s="77" customFormat="1" ht="31.5" hidden="1" x14ac:dyDescent="0.25">
      <c r="A15" s="2"/>
      <c r="B15" s="74" t="s">
        <v>411</v>
      </c>
      <c r="C15" s="75" t="s">
        <v>195</v>
      </c>
      <c r="D15" s="76">
        <f>SUM(D13:D14)</f>
        <v>0</v>
      </c>
      <c r="E15" s="76">
        <f>SUM(E13:E14)</f>
        <v>0</v>
      </c>
      <c r="F15" s="76">
        <f>SUM(F13:F14)</f>
        <v>0</v>
      </c>
      <c r="G15" s="76">
        <f>SUM(G13:G14)</f>
        <v>0</v>
      </c>
    </row>
    <row r="16" spans="1:7" x14ac:dyDescent="0.25">
      <c r="B16" s="44"/>
      <c r="C16" s="53"/>
      <c r="D16" s="14"/>
      <c r="E16" s="13"/>
      <c r="F16" s="14"/>
      <c r="G16" s="434"/>
    </row>
    <row r="17" spans="1:7" x14ac:dyDescent="0.25">
      <c r="B17" s="101" t="s">
        <v>413</v>
      </c>
      <c r="C17" s="87" t="s">
        <v>412</v>
      </c>
      <c r="D17" s="13"/>
      <c r="E17" s="13">
        <f>154465000-103617245-18754134-16224416-7708263</f>
        <v>8160942</v>
      </c>
      <c r="F17" s="13"/>
      <c r="G17" s="434">
        <f>154465000-103617245-18754134-16224416-7708263</f>
        <v>8160942</v>
      </c>
    </row>
    <row r="18" spans="1:7" x14ac:dyDescent="0.25">
      <c r="A18" s="2">
        <v>1</v>
      </c>
      <c r="B18" s="79" t="s">
        <v>414</v>
      </c>
      <c r="C18" s="87" t="s">
        <v>412</v>
      </c>
      <c r="D18" s="13"/>
      <c r="E18" s="13">
        <f>500000000-142200775-61000000</f>
        <v>296799225</v>
      </c>
      <c r="F18" s="13"/>
      <c r="G18" s="434">
        <f>500000000-142200775-61000000</f>
        <v>296799225</v>
      </c>
    </row>
    <row r="19" spans="1:7" s="77" customFormat="1" ht="31.5" x14ac:dyDescent="0.25">
      <c r="A19" s="2" t="s">
        <v>415</v>
      </c>
      <c r="B19" s="415" t="s">
        <v>416</v>
      </c>
      <c r="C19" s="91" t="s">
        <v>412</v>
      </c>
      <c r="D19" s="92">
        <f>SUM(D16:D18)</f>
        <v>0</v>
      </c>
      <c r="E19" s="92">
        <f>SUM(E16:E18)</f>
        <v>304960167</v>
      </c>
      <c r="F19" s="92">
        <f>SUM(F16:F18)</f>
        <v>0</v>
      </c>
      <c r="G19" s="438">
        <f>SUM(G16:G18)</f>
        <v>304960167</v>
      </c>
    </row>
    <row r="20" spans="1:7" x14ac:dyDescent="0.25">
      <c r="B20" s="416"/>
      <c r="C20" s="53"/>
      <c r="D20" s="93"/>
      <c r="E20" s="93"/>
      <c r="F20" s="93"/>
      <c r="G20" s="439"/>
    </row>
    <row r="21" spans="1:7" x14ac:dyDescent="0.25">
      <c r="B21" s="474" t="s">
        <v>826</v>
      </c>
      <c r="C21" s="87" t="s">
        <v>418</v>
      </c>
      <c r="D21" s="93"/>
      <c r="E21" s="93"/>
      <c r="F21" s="93"/>
      <c r="G21" s="439"/>
    </row>
    <row r="22" spans="1:7" x14ac:dyDescent="0.25">
      <c r="B22" s="474" t="s">
        <v>827</v>
      </c>
      <c r="C22" s="87" t="s">
        <v>418</v>
      </c>
      <c r="D22" s="93"/>
      <c r="E22" s="93"/>
      <c r="F22" s="93"/>
      <c r="G22" s="439"/>
    </row>
    <row r="23" spans="1:7" x14ac:dyDescent="0.25">
      <c r="A23" s="2">
        <v>5</v>
      </c>
      <c r="B23" s="417" t="s">
        <v>417</v>
      </c>
      <c r="C23" s="87" t="s">
        <v>418</v>
      </c>
      <c r="D23" s="13">
        <v>4968000</v>
      </c>
      <c r="E23" s="13"/>
      <c r="F23" s="13">
        <v>4968000</v>
      </c>
      <c r="G23" s="434"/>
    </row>
    <row r="24" spans="1:7" x14ac:dyDescent="0.25">
      <c r="A24" s="2">
        <v>3</v>
      </c>
      <c r="B24" s="417" t="s">
        <v>419</v>
      </c>
      <c r="C24" s="87" t="s">
        <v>418</v>
      </c>
      <c r="D24" s="13">
        <v>2960000</v>
      </c>
      <c r="E24" s="13"/>
      <c r="F24" s="13">
        <v>2960000</v>
      </c>
      <c r="G24" s="434"/>
    </row>
    <row r="25" spans="1:7" s="77" customFormat="1" x14ac:dyDescent="0.25">
      <c r="A25" s="2" t="s">
        <v>420</v>
      </c>
      <c r="B25" s="415" t="s">
        <v>421</v>
      </c>
      <c r="C25" s="91" t="s">
        <v>418</v>
      </c>
      <c r="D25" s="92">
        <f>SUM(D23:D24)</f>
        <v>7928000</v>
      </c>
      <c r="E25" s="92">
        <f>SUM(E23:E24)</f>
        <v>0</v>
      </c>
      <c r="F25" s="92">
        <f>SUM(F23:F24)</f>
        <v>7928000</v>
      </c>
      <c r="G25" s="438">
        <f>SUM(G23:G24)</f>
        <v>0</v>
      </c>
    </row>
    <row r="26" spans="1:7" s="77" customFormat="1" ht="32.25" thickBot="1" x14ac:dyDescent="0.3">
      <c r="A26" s="2"/>
      <c r="B26" s="94" t="s">
        <v>422</v>
      </c>
      <c r="C26" s="95" t="s">
        <v>197</v>
      </c>
      <c r="D26" s="96">
        <f t="shared" ref="D26:G26" si="0">+D25+D19</f>
        <v>7928000</v>
      </c>
      <c r="E26" s="96">
        <f t="shared" si="0"/>
        <v>304960167</v>
      </c>
      <c r="F26" s="96">
        <f t="shared" si="0"/>
        <v>7928000</v>
      </c>
      <c r="G26" s="446">
        <f t="shared" si="0"/>
        <v>304960167</v>
      </c>
    </row>
    <row r="27" spans="1:7" ht="13.5" customHeight="1" x14ac:dyDescent="0.25">
      <c r="B27" s="97"/>
      <c r="C27" s="98"/>
      <c r="D27" s="99"/>
      <c r="E27" s="99"/>
      <c r="F27" s="99"/>
      <c r="G27" s="447"/>
    </row>
    <row r="28" spans="1:7" x14ac:dyDescent="0.25">
      <c r="A28" s="2" t="s">
        <v>423</v>
      </c>
      <c r="B28" s="101"/>
      <c r="C28" s="52" t="s">
        <v>424</v>
      </c>
      <c r="D28" s="80"/>
      <c r="E28" s="83"/>
      <c r="F28" s="80"/>
      <c r="G28" s="448"/>
    </row>
    <row r="29" spans="1:7" s="77" customFormat="1" ht="16.5" thickBot="1" x14ac:dyDescent="0.3">
      <c r="A29" s="2"/>
      <c r="B29" s="94" t="s">
        <v>425</v>
      </c>
      <c r="C29" s="95" t="s">
        <v>424</v>
      </c>
      <c r="D29" s="96">
        <f>SUM(D27:D28)</f>
        <v>0</v>
      </c>
      <c r="E29" s="96">
        <f>SUM(E27:E28)</f>
        <v>0</v>
      </c>
      <c r="F29" s="96">
        <f>SUM(F27:F28)</f>
        <v>0</v>
      </c>
      <c r="G29" s="446">
        <f>SUM(G27:G28)</f>
        <v>0</v>
      </c>
    </row>
    <row r="30" spans="1:7" ht="13.5" hidden="1" customHeight="1" x14ac:dyDescent="0.25">
      <c r="B30" s="97"/>
      <c r="C30" s="98"/>
      <c r="D30" s="99"/>
      <c r="E30" s="99"/>
      <c r="F30" s="99"/>
      <c r="G30" s="447"/>
    </row>
    <row r="31" spans="1:7" hidden="1" x14ac:dyDescent="0.25">
      <c r="B31" s="54"/>
      <c r="C31" s="52"/>
      <c r="D31" s="13"/>
      <c r="E31" s="13"/>
      <c r="F31" s="13"/>
      <c r="G31" s="434"/>
    </row>
    <row r="32" spans="1:7" s="77" customFormat="1" ht="31.5" hidden="1" x14ac:dyDescent="0.25">
      <c r="A32" s="2"/>
      <c r="B32" s="74" t="s">
        <v>426</v>
      </c>
      <c r="C32" s="75" t="s">
        <v>427</v>
      </c>
      <c r="D32" s="76">
        <f>SUM(D30:D31)</f>
        <v>0</v>
      </c>
      <c r="E32" s="76">
        <f>SUM(E30:E31)</f>
        <v>0</v>
      </c>
      <c r="F32" s="76">
        <f>SUM(F30:F31)</f>
        <v>0</v>
      </c>
      <c r="G32" s="440">
        <f>SUM(G30:G31)</f>
        <v>0</v>
      </c>
    </row>
    <row r="33" spans="1:7" hidden="1" x14ac:dyDescent="0.25">
      <c r="B33" s="54"/>
      <c r="C33" s="52"/>
      <c r="D33" s="13"/>
      <c r="E33" s="13"/>
      <c r="F33" s="13"/>
      <c r="G33" s="434"/>
    </row>
    <row r="34" spans="1:7" hidden="1" x14ac:dyDescent="0.25">
      <c r="B34" s="54"/>
      <c r="C34" s="52"/>
      <c r="D34" s="13"/>
      <c r="E34" s="13"/>
      <c r="F34" s="13"/>
      <c r="G34" s="434"/>
    </row>
    <row r="35" spans="1:7" s="77" customFormat="1" ht="31.5" hidden="1" x14ac:dyDescent="0.25">
      <c r="A35" s="2"/>
      <c r="B35" s="74" t="s">
        <v>428</v>
      </c>
      <c r="C35" s="75" t="s">
        <v>429</v>
      </c>
      <c r="D35" s="76">
        <f>SUM(D33:D34)</f>
        <v>0</v>
      </c>
      <c r="E35" s="76">
        <f>SUM(E33:E34)</f>
        <v>0</v>
      </c>
      <c r="F35" s="76">
        <f>SUM(F33:F34)</f>
        <v>0</v>
      </c>
      <c r="G35" s="440">
        <f>SUM(G33:G34)</f>
        <v>0</v>
      </c>
    </row>
    <row r="36" spans="1:7" x14ac:dyDescent="0.25">
      <c r="A36" s="2" t="s">
        <v>325</v>
      </c>
      <c r="B36" s="44"/>
      <c r="C36" s="53"/>
      <c r="D36" s="13"/>
      <c r="E36" s="13"/>
      <c r="F36" s="13"/>
      <c r="G36" s="434"/>
    </row>
    <row r="37" spans="1:7" x14ac:dyDescent="0.25">
      <c r="B37" s="101" t="s">
        <v>769</v>
      </c>
      <c r="C37" s="52" t="s">
        <v>430</v>
      </c>
      <c r="D37" s="401">
        <v>30000000</v>
      </c>
      <c r="E37" s="13"/>
      <c r="F37" s="401">
        <v>30000000</v>
      </c>
      <c r="G37" s="434"/>
    </row>
    <row r="38" spans="1:7" x14ac:dyDescent="0.25">
      <c r="B38" s="101" t="s">
        <v>431</v>
      </c>
      <c r="C38" s="392" t="s">
        <v>430</v>
      </c>
      <c r="D38" s="259"/>
      <c r="E38" s="365">
        <v>18482000</v>
      </c>
      <c r="F38" s="259"/>
      <c r="G38" s="449">
        <v>18482000</v>
      </c>
    </row>
    <row r="39" spans="1:7" x14ac:dyDescent="0.25">
      <c r="B39" s="79" t="s">
        <v>805</v>
      </c>
      <c r="C39" s="52" t="s">
        <v>430</v>
      </c>
      <c r="D39" s="99">
        <f>250000000*1.27</f>
        <v>317500000</v>
      </c>
      <c r="E39" s="13"/>
      <c r="F39" s="99">
        <f>250000000*1.27</f>
        <v>317500000</v>
      </c>
      <c r="G39" s="434"/>
    </row>
    <row r="40" spans="1:7" s="77" customFormat="1" x14ac:dyDescent="0.25">
      <c r="A40" s="2" t="s">
        <v>432</v>
      </c>
      <c r="B40" s="415" t="s">
        <v>433</v>
      </c>
      <c r="C40" s="91" t="s">
        <v>430</v>
      </c>
      <c r="D40" s="92">
        <f>SUM(D36:D39)</f>
        <v>347500000</v>
      </c>
      <c r="E40" s="92">
        <f>SUM(E36:E39)</f>
        <v>18482000</v>
      </c>
      <c r="F40" s="92">
        <f>SUM(F36:F39)</f>
        <v>347500000</v>
      </c>
      <c r="G40" s="438">
        <f>SUM(G36:G39)</f>
        <v>18482000</v>
      </c>
    </row>
    <row r="41" spans="1:7" x14ac:dyDescent="0.25">
      <c r="B41" s="44"/>
      <c r="C41" s="53"/>
      <c r="D41" s="13"/>
      <c r="E41" s="13"/>
      <c r="F41" s="13"/>
      <c r="G41" s="434"/>
    </row>
    <row r="42" spans="1:7" x14ac:dyDescent="0.25">
      <c r="B42" s="101" t="s">
        <v>777</v>
      </c>
      <c r="C42" s="52" t="s">
        <v>435</v>
      </c>
      <c r="D42" s="13"/>
      <c r="E42" s="13">
        <f>(850246+100029)*330</f>
        <v>313590750</v>
      </c>
      <c r="F42" s="13"/>
      <c r="G42" s="434">
        <f>(850246+100029)*330</f>
        <v>313590750</v>
      </c>
    </row>
    <row r="43" spans="1:7" x14ac:dyDescent="0.25">
      <c r="B43" s="101" t="s">
        <v>776</v>
      </c>
      <c r="C43" s="52" t="s">
        <v>435</v>
      </c>
      <c r="D43" s="13">
        <v>228378802</v>
      </c>
      <c r="E43" s="13"/>
      <c r="F43" s="13">
        <v>228378802</v>
      </c>
      <c r="G43" s="434"/>
    </row>
    <row r="44" spans="1:7" s="86" customFormat="1" x14ac:dyDescent="0.25">
      <c r="B44" s="101" t="s">
        <v>731</v>
      </c>
      <c r="C44" s="52" t="s">
        <v>435</v>
      </c>
      <c r="D44" s="13"/>
      <c r="E44" s="13">
        <f>100000000-66410507-19908000</f>
        <v>13681493</v>
      </c>
      <c r="F44" s="13"/>
      <c r="G44" s="434">
        <f>100000000-66410507-19908000</f>
        <v>13681493</v>
      </c>
    </row>
    <row r="45" spans="1:7" s="86" customFormat="1" x14ac:dyDescent="0.25">
      <c r="A45" s="86">
        <v>10</v>
      </c>
      <c r="B45" s="101" t="s">
        <v>440</v>
      </c>
      <c r="C45" s="52" t="s">
        <v>435</v>
      </c>
      <c r="D45" s="13"/>
      <c r="E45" s="13">
        <v>157099000</v>
      </c>
      <c r="F45" s="13"/>
      <c r="G45" s="434">
        <v>157099000</v>
      </c>
    </row>
    <row r="46" spans="1:7" s="86" customFormat="1" x14ac:dyDescent="0.25">
      <c r="B46" s="101" t="s">
        <v>756</v>
      </c>
      <c r="C46" s="52" t="s">
        <v>435</v>
      </c>
      <c r="D46" s="13">
        <v>17489930</v>
      </c>
      <c r="E46" s="13"/>
      <c r="F46" s="13">
        <v>17489930</v>
      </c>
      <c r="G46" s="434"/>
    </row>
    <row r="47" spans="1:7" s="86" customFormat="1" x14ac:dyDescent="0.25">
      <c r="A47" s="86">
        <v>14</v>
      </c>
      <c r="B47" s="101" t="s">
        <v>442</v>
      </c>
      <c r="C47" s="52" t="s">
        <v>435</v>
      </c>
      <c r="D47" s="13">
        <f>8951091+798826</f>
        <v>9749917</v>
      </c>
      <c r="E47" s="13"/>
      <c r="F47" s="13">
        <f>8951091+798826</f>
        <v>9749917</v>
      </c>
      <c r="G47" s="434"/>
    </row>
    <row r="48" spans="1:7" s="86" customFormat="1" x14ac:dyDescent="0.25">
      <c r="A48" s="86">
        <v>15</v>
      </c>
      <c r="B48" s="101" t="s">
        <v>443</v>
      </c>
      <c r="C48" s="52" t="s">
        <v>435</v>
      </c>
      <c r="D48" s="13">
        <f>846805000-572931453-178936406-7999412</f>
        <v>86937729</v>
      </c>
      <c r="E48" s="13"/>
      <c r="F48" s="13">
        <f>846805000-572931453-178936406-7999412</f>
        <v>86937729</v>
      </c>
      <c r="G48" s="434"/>
    </row>
    <row r="49" spans="1:252" s="77" customFormat="1" ht="31.5" x14ac:dyDescent="0.25">
      <c r="A49" s="2" t="s">
        <v>444</v>
      </c>
      <c r="B49" s="415" t="s">
        <v>416</v>
      </c>
      <c r="C49" s="91" t="s">
        <v>435</v>
      </c>
      <c r="D49" s="92">
        <f>SUM(D41:D48)</f>
        <v>342556378</v>
      </c>
      <c r="E49" s="92">
        <f>SUM(E41:E48)</f>
        <v>484371243</v>
      </c>
      <c r="F49" s="92">
        <f>SUM(F41:F48)</f>
        <v>342556378</v>
      </c>
      <c r="G49" s="438">
        <f>SUM(G41:G48)</f>
        <v>484371243</v>
      </c>
    </row>
    <row r="50" spans="1:252" s="77" customFormat="1" ht="31.5" x14ac:dyDescent="0.25">
      <c r="A50" s="2"/>
      <c r="B50" s="74" t="s">
        <v>445</v>
      </c>
      <c r="C50" s="75" t="s">
        <v>446</v>
      </c>
      <c r="D50" s="76">
        <f>+D49+D40</f>
        <v>690056378</v>
      </c>
      <c r="E50" s="76">
        <f>+E49+E40</f>
        <v>502853243</v>
      </c>
      <c r="F50" s="76">
        <f>+F49+F40</f>
        <v>690056378</v>
      </c>
      <c r="G50" s="440">
        <f>+G49+G40</f>
        <v>502853243</v>
      </c>
    </row>
    <row r="51" spans="1:252" s="77" customFormat="1" ht="16.5" thickBot="1" x14ac:dyDescent="0.3">
      <c r="A51" s="2"/>
      <c r="B51" s="94" t="s">
        <v>447</v>
      </c>
      <c r="C51" s="95" t="s">
        <v>201</v>
      </c>
      <c r="D51" s="96">
        <f>+D50+D35+D32+D29</f>
        <v>690056378</v>
      </c>
      <c r="E51" s="96">
        <f>+E50+E35+E32+E29</f>
        <v>502853243</v>
      </c>
      <c r="F51" s="96">
        <f>+F50+F35+F32+F29</f>
        <v>690056378</v>
      </c>
      <c r="G51" s="446">
        <f>+G50+G35+G32+G29</f>
        <v>502853243</v>
      </c>
    </row>
    <row r="52" spans="1:252" x14ac:dyDescent="0.25">
      <c r="B52" s="97"/>
      <c r="C52" s="100"/>
      <c r="D52" s="99"/>
      <c r="E52" s="99"/>
      <c r="F52" s="99"/>
      <c r="G52" s="447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</row>
    <row r="53" spans="1:252" hidden="1" x14ac:dyDescent="0.25">
      <c r="B53" s="54"/>
      <c r="C53" s="41"/>
      <c r="D53" s="13"/>
      <c r="E53" s="13"/>
      <c r="F53" s="13"/>
      <c r="G53" s="434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</row>
    <row r="54" spans="1:252" s="77" customFormat="1" ht="19.5" hidden="1" customHeight="1" x14ac:dyDescent="0.25">
      <c r="A54" s="2"/>
      <c r="B54" s="74" t="s">
        <v>448</v>
      </c>
      <c r="C54" s="75" t="s">
        <v>449</v>
      </c>
      <c r="D54" s="76">
        <f>SUM(D52:D53)</f>
        <v>0</v>
      </c>
      <c r="E54" s="76">
        <f>SUM(E52:E53)</f>
        <v>0</v>
      </c>
      <c r="F54" s="76">
        <f>SUM(F52:F53)</f>
        <v>0</v>
      </c>
      <c r="G54" s="440">
        <f>SUM(G52:G53)</f>
        <v>0</v>
      </c>
    </row>
    <row r="55" spans="1:252" hidden="1" x14ac:dyDescent="0.25">
      <c r="B55" s="54"/>
      <c r="C55" s="41"/>
      <c r="D55" s="13"/>
      <c r="E55" s="13"/>
      <c r="F55" s="13"/>
      <c r="G55" s="434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</row>
    <row r="56" spans="1:252" hidden="1" x14ac:dyDescent="0.25">
      <c r="B56" s="54"/>
      <c r="C56" s="41"/>
      <c r="D56" s="13"/>
      <c r="E56" s="13"/>
      <c r="F56" s="13"/>
      <c r="G56" s="434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</row>
    <row r="57" spans="1:252" s="77" customFormat="1" ht="31.5" hidden="1" x14ac:dyDescent="0.25">
      <c r="A57" s="2"/>
      <c r="B57" s="74" t="s">
        <v>450</v>
      </c>
      <c r="C57" s="75" t="s">
        <v>451</v>
      </c>
      <c r="D57" s="76">
        <f>SUM(D55:D56)</f>
        <v>0</v>
      </c>
      <c r="E57" s="76">
        <f>SUM(E55:E56)</f>
        <v>0</v>
      </c>
      <c r="F57" s="76">
        <f>SUM(F55:F56)</f>
        <v>0</v>
      </c>
      <c r="G57" s="440">
        <f>SUM(G55:G56)</f>
        <v>0</v>
      </c>
    </row>
    <row r="58" spans="1:252" hidden="1" x14ac:dyDescent="0.25">
      <c r="B58" s="54"/>
      <c r="C58" s="41"/>
      <c r="D58" s="13"/>
      <c r="E58" s="13"/>
      <c r="F58" s="13"/>
      <c r="G58" s="434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</row>
    <row r="59" spans="1:252" hidden="1" x14ac:dyDescent="0.25">
      <c r="B59" s="54"/>
      <c r="C59" s="41"/>
      <c r="D59" s="13"/>
      <c r="E59" s="13"/>
      <c r="F59" s="13"/>
      <c r="G59" s="434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</row>
    <row r="60" spans="1:252" s="77" customFormat="1" ht="31.5" hidden="1" x14ac:dyDescent="0.25">
      <c r="A60" s="2"/>
      <c r="B60" s="74" t="s">
        <v>452</v>
      </c>
      <c r="C60" s="75" t="s">
        <v>257</v>
      </c>
      <c r="D60" s="76">
        <f>SUM(D58:D59)</f>
        <v>0</v>
      </c>
      <c r="E60" s="76">
        <f>SUM(E58:E59)</f>
        <v>0</v>
      </c>
      <c r="F60" s="76">
        <f>SUM(F58:F59)</f>
        <v>0</v>
      </c>
      <c r="G60" s="440">
        <f>SUM(G58:G59)</f>
        <v>0</v>
      </c>
    </row>
    <row r="61" spans="1:252" hidden="1" x14ac:dyDescent="0.25">
      <c r="B61" s="54"/>
      <c r="C61" s="41"/>
      <c r="D61" s="13"/>
      <c r="E61" s="13"/>
      <c r="F61" s="13"/>
      <c r="G61" s="434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</row>
    <row r="62" spans="1:252" hidden="1" x14ac:dyDescent="0.25">
      <c r="B62" s="54"/>
      <c r="C62" s="41"/>
      <c r="D62" s="13"/>
      <c r="E62" s="13"/>
      <c r="F62" s="13"/>
      <c r="G62" s="434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</row>
    <row r="63" spans="1:252" s="77" customFormat="1" ht="31.5" hidden="1" x14ac:dyDescent="0.25">
      <c r="A63" s="2"/>
      <c r="B63" s="253" t="s">
        <v>453</v>
      </c>
      <c r="C63" s="254" t="s">
        <v>259</v>
      </c>
      <c r="D63" s="255">
        <f>SUM(D61:D62)</f>
        <v>0</v>
      </c>
      <c r="E63" s="255">
        <f>SUM(E61:E62)</f>
        <v>0</v>
      </c>
      <c r="F63" s="255">
        <f>SUM(F61:F62)</f>
        <v>0</v>
      </c>
      <c r="G63" s="450">
        <f>SUM(G61:G62)</f>
        <v>0</v>
      </c>
    </row>
    <row r="64" spans="1:252" s="77" customFormat="1" x14ac:dyDescent="0.25">
      <c r="A64" s="2"/>
      <c r="B64" s="79" t="s">
        <v>434</v>
      </c>
      <c r="C64" s="258" t="s">
        <v>289</v>
      </c>
      <c r="D64" s="259">
        <f>172210</f>
        <v>172210</v>
      </c>
      <c r="E64" s="260"/>
      <c r="F64" s="259">
        <f>172210</f>
        <v>172210</v>
      </c>
      <c r="G64" s="451"/>
    </row>
    <row r="65" spans="1:252" s="77" customFormat="1" x14ac:dyDescent="0.25">
      <c r="A65" s="2"/>
      <c r="B65" s="101" t="s">
        <v>437</v>
      </c>
      <c r="C65" s="258" t="s">
        <v>289</v>
      </c>
      <c r="D65" s="259">
        <v>3279332</v>
      </c>
      <c r="E65" s="260"/>
      <c r="F65" s="259">
        <v>3279332</v>
      </c>
      <c r="G65" s="451"/>
    </row>
    <row r="66" spans="1:252" s="77" customFormat="1" x14ac:dyDescent="0.25">
      <c r="A66" s="2" t="s">
        <v>454</v>
      </c>
      <c r="B66" s="79" t="s">
        <v>438</v>
      </c>
      <c r="C66" s="258" t="s">
        <v>289</v>
      </c>
      <c r="D66" s="259">
        <f>225515</f>
        <v>225515</v>
      </c>
      <c r="E66" s="260"/>
      <c r="F66" s="259">
        <f>225515</f>
        <v>225515</v>
      </c>
      <c r="G66" s="451"/>
    </row>
    <row r="67" spans="1:252" s="77" customFormat="1" ht="31.5" x14ac:dyDescent="0.25">
      <c r="A67" s="2"/>
      <c r="B67" s="261" t="s">
        <v>455</v>
      </c>
      <c r="C67" s="261" t="s">
        <v>289</v>
      </c>
      <c r="D67" s="262">
        <f>SUM(D64:D66)</f>
        <v>3677057</v>
      </c>
      <c r="E67" s="262">
        <f>SUM(E64:E66)</f>
        <v>0</v>
      </c>
      <c r="F67" s="262">
        <f>SUM(F64:F66)</f>
        <v>3677057</v>
      </c>
      <c r="G67" s="262">
        <f t="shared" ref="G67" si="1">SUM(G64:G66)</f>
        <v>0</v>
      </c>
    </row>
    <row r="68" spans="1:252" x14ac:dyDescent="0.25">
      <c r="B68" s="418"/>
      <c r="C68" s="256"/>
      <c r="D68" s="257"/>
      <c r="E68" s="257"/>
      <c r="F68" s="257"/>
      <c r="G68" s="452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</row>
    <row r="69" spans="1:252" x14ac:dyDescent="0.25">
      <c r="B69" s="419"/>
      <c r="C69" s="101" t="s">
        <v>241</v>
      </c>
      <c r="D69" s="37"/>
      <c r="E69" s="37"/>
      <c r="F69" s="37"/>
      <c r="G69" s="453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</row>
    <row r="70" spans="1:252" s="84" customFormat="1" x14ac:dyDescent="0.25">
      <c r="A70" s="2" t="s">
        <v>325</v>
      </c>
      <c r="B70" s="102" t="s">
        <v>456</v>
      </c>
      <c r="C70" s="75" t="s">
        <v>241</v>
      </c>
      <c r="D70" s="76">
        <f>SUM(D68:D69)</f>
        <v>0</v>
      </c>
      <c r="E70" s="76">
        <f>SUM(E68:E69)</f>
        <v>0</v>
      </c>
      <c r="F70" s="76">
        <f>SUM(F68:F69)</f>
        <v>0</v>
      </c>
      <c r="G70" s="440">
        <f>SUM(G68:G69)</f>
        <v>0</v>
      </c>
    </row>
    <row r="71" spans="1:252" x14ac:dyDescent="0.25">
      <c r="A71" s="2" t="s">
        <v>457</v>
      </c>
      <c r="B71" s="417"/>
      <c r="C71" s="52"/>
      <c r="D71" s="13"/>
      <c r="E71" s="13"/>
      <c r="F71" s="13"/>
      <c r="G71" s="434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</row>
    <row r="72" spans="1:252" x14ac:dyDescent="0.25">
      <c r="A72" s="2" t="s">
        <v>458</v>
      </c>
      <c r="B72" s="417" t="s">
        <v>459</v>
      </c>
      <c r="C72" s="87" t="s">
        <v>243</v>
      </c>
      <c r="D72" s="13">
        <v>20000000</v>
      </c>
      <c r="E72" s="13"/>
      <c r="F72" s="13">
        <v>20000000</v>
      </c>
      <c r="G72" s="434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</row>
    <row r="73" spans="1:252" x14ac:dyDescent="0.25">
      <c r="A73" s="2" t="s">
        <v>460</v>
      </c>
      <c r="B73" s="417" t="s">
        <v>461</v>
      </c>
      <c r="C73" s="87" t="s">
        <v>243</v>
      </c>
      <c r="D73" s="13">
        <v>5000000</v>
      </c>
      <c r="E73" s="13"/>
      <c r="F73" s="13">
        <v>5000000</v>
      </c>
      <c r="G73" s="434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</row>
    <row r="74" spans="1:252" x14ac:dyDescent="0.25">
      <c r="A74" s="2" t="s">
        <v>462</v>
      </c>
      <c r="B74" s="417" t="s">
        <v>463</v>
      </c>
      <c r="C74" s="87" t="s">
        <v>243</v>
      </c>
      <c r="D74" s="103">
        <f>5*3800000</f>
        <v>19000000</v>
      </c>
      <c r="E74" s="103"/>
      <c r="F74" s="103">
        <f>5*3800000</f>
        <v>19000000</v>
      </c>
      <c r="G74" s="45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</row>
    <row r="75" spans="1:252" x14ac:dyDescent="0.25">
      <c r="A75" s="2" t="s">
        <v>464</v>
      </c>
      <c r="B75" s="417" t="s">
        <v>465</v>
      </c>
      <c r="C75" s="87" t="s">
        <v>243</v>
      </c>
      <c r="D75" s="103">
        <v>20000000</v>
      </c>
      <c r="E75" s="103"/>
      <c r="F75" s="103">
        <v>20000000</v>
      </c>
      <c r="G75" s="454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</row>
    <row r="76" spans="1:252" s="84" customFormat="1" x14ac:dyDescent="0.25">
      <c r="A76" s="16"/>
      <c r="B76" s="102" t="s">
        <v>466</v>
      </c>
      <c r="C76" s="75" t="s">
        <v>243</v>
      </c>
      <c r="D76" s="76">
        <f>SUM(D71:D75)</f>
        <v>64000000</v>
      </c>
      <c r="E76" s="76">
        <f>SUM(E71:E75)</f>
        <v>0</v>
      </c>
      <c r="F76" s="76">
        <f>SUM(F71:F75)</f>
        <v>64000000</v>
      </c>
      <c r="G76" s="76">
        <f t="shared" ref="G76" si="2">SUM(G71:G75)</f>
        <v>0</v>
      </c>
    </row>
    <row r="77" spans="1:252" x14ac:dyDescent="0.25">
      <c r="B77" s="54"/>
      <c r="C77" s="52"/>
      <c r="D77" s="13"/>
      <c r="E77" s="13"/>
      <c r="F77" s="13"/>
      <c r="G77" s="434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</row>
    <row r="78" spans="1:252" x14ac:dyDescent="0.25">
      <c r="A78" s="2" t="s">
        <v>467</v>
      </c>
      <c r="B78" s="79" t="s">
        <v>798</v>
      </c>
      <c r="C78" s="87" t="s">
        <v>245</v>
      </c>
      <c r="D78" s="13">
        <v>1700000</v>
      </c>
      <c r="E78" s="13">
        <v>0</v>
      </c>
      <c r="F78" s="13">
        <v>1700000</v>
      </c>
      <c r="G78" s="434">
        <v>0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</row>
    <row r="79" spans="1:252" s="84" customFormat="1" x14ac:dyDescent="0.25">
      <c r="A79" s="16"/>
      <c r="B79" s="102" t="s">
        <v>468</v>
      </c>
      <c r="C79" s="75" t="s">
        <v>245</v>
      </c>
      <c r="D79" s="76">
        <f>SUM(D77:D78)</f>
        <v>1700000</v>
      </c>
      <c r="E79" s="76">
        <f>SUM(E77:E78)</f>
        <v>0</v>
      </c>
      <c r="F79" s="76">
        <f>SUM(F77:F78)</f>
        <v>1700000</v>
      </c>
      <c r="G79" s="76">
        <f t="shared" ref="G79" si="3">SUM(G77:G78)</f>
        <v>0</v>
      </c>
    </row>
    <row r="80" spans="1:252" hidden="1" x14ac:dyDescent="0.25">
      <c r="B80" s="54"/>
      <c r="C80" s="52"/>
      <c r="D80" s="13"/>
      <c r="E80" s="13"/>
      <c r="F80" s="13"/>
      <c r="G80" s="13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</row>
    <row r="81" spans="1:252" hidden="1" x14ac:dyDescent="0.25">
      <c r="B81" s="54"/>
      <c r="C81" s="52"/>
      <c r="D81" s="13"/>
      <c r="E81" s="13"/>
      <c r="F81" s="13"/>
      <c r="G81" s="13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</row>
    <row r="82" spans="1:252" s="84" customFormat="1" hidden="1" x14ac:dyDescent="0.25">
      <c r="A82" s="16"/>
      <c r="B82" s="102" t="s">
        <v>469</v>
      </c>
      <c r="C82" s="75" t="s">
        <v>247</v>
      </c>
      <c r="D82" s="76">
        <f>SUM(D80:D81)</f>
        <v>0</v>
      </c>
      <c r="E82" s="76">
        <f>SUM(E80:E81)</f>
        <v>0</v>
      </c>
      <c r="F82" s="76">
        <f>SUM(F80:F81)</f>
        <v>0</v>
      </c>
      <c r="G82" s="76">
        <f t="shared" ref="G82" si="4">SUM(G80:G81)</f>
        <v>0</v>
      </c>
    </row>
    <row r="83" spans="1:252" hidden="1" x14ac:dyDescent="0.25">
      <c r="B83" s="54"/>
      <c r="C83" s="52"/>
      <c r="D83" s="13"/>
      <c r="E83" s="13"/>
      <c r="F83" s="13"/>
      <c r="G83" s="1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</row>
    <row r="84" spans="1:252" hidden="1" x14ac:dyDescent="0.25">
      <c r="B84" s="54"/>
      <c r="C84" s="52"/>
      <c r="D84" s="13"/>
      <c r="E84" s="13"/>
      <c r="F84" s="13"/>
      <c r="G84" s="13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</row>
    <row r="85" spans="1:252" s="84" customFormat="1" hidden="1" x14ac:dyDescent="0.25">
      <c r="A85" s="16"/>
      <c r="B85" s="102" t="s">
        <v>470</v>
      </c>
      <c r="C85" s="75" t="s">
        <v>249</v>
      </c>
      <c r="D85" s="76">
        <f>SUM(D83:D84)</f>
        <v>0</v>
      </c>
      <c r="E85" s="76">
        <f>SUM(E83:E84)</f>
        <v>0</v>
      </c>
      <c r="F85" s="76">
        <f>SUM(F83:F84)</f>
        <v>0</v>
      </c>
      <c r="G85" s="76">
        <f t="shared" ref="G85" si="5">SUM(G83:G84)</f>
        <v>0</v>
      </c>
    </row>
    <row r="86" spans="1:252" s="77" customFormat="1" x14ac:dyDescent="0.25">
      <c r="A86" s="2"/>
      <c r="B86" s="74" t="s">
        <v>471</v>
      </c>
      <c r="C86" s="75" t="s">
        <v>251</v>
      </c>
      <c r="D86" s="76">
        <f>+D85+D82+D79+D76+D70</f>
        <v>65700000</v>
      </c>
      <c r="E86" s="76">
        <f>+E85+E82+E79+E76+E70</f>
        <v>0</v>
      </c>
      <c r="F86" s="76">
        <f>+F85+F82+F79+F76+F70</f>
        <v>65700000</v>
      </c>
      <c r="G86" s="76">
        <f t="shared" ref="G86" si="6">+G85+G82+G79+G76+G70</f>
        <v>0</v>
      </c>
    </row>
    <row r="89" spans="1:252" x14ac:dyDescent="0.25">
      <c r="A89"/>
      <c r="C89" s="70" t="s">
        <v>783</v>
      </c>
      <c r="D89" s="3">
        <f>+D51+E51+D26+E26-D23-D24-D37-D39</f>
        <v>1150369788</v>
      </c>
      <c r="F89" s="3">
        <f>+F51+G51+F26+G26-F23-F24-F37-F39</f>
        <v>1150369788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</row>
    <row r="90" spans="1:252" x14ac:dyDescent="0.25">
      <c r="A90"/>
      <c r="C90" s="70" t="s">
        <v>784</v>
      </c>
      <c r="D90" s="3">
        <f>+'19 EU projektek'!F73+'19 EU projektek'!F75</f>
        <v>1150369788</v>
      </c>
      <c r="F90" s="3">
        <f>+'19 EU projektek'!H73+'19 EU projektek'!H75</f>
        <v>807813410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</row>
    <row r="91" spans="1:252" x14ac:dyDescent="0.25">
      <c r="A91"/>
      <c r="D91" s="3">
        <f>+D90-D89</f>
        <v>0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</row>
    <row r="92" spans="1:252" x14ac:dyDescent="0.25">
      <c r="A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</row>
    <row r="93" spans="1:252" x14ac:dyDescent="0.25">
      <c r="A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</row>
  </sheetData>
  <sheetProtection selectLockedCells="1" selectUnlockedCells="1"/>
  <mergeCells count="3">
    <mergeCell ref="B6:C6"/>
    <mergeCell ref="D8:E8"/>
    <mergeCell ref="F8:G8"/>
  </mergeCells>
  <printOptions horizontalCentered="1"/>
  <pageMargins left="0.70866141732283472" right="0.70866141732283472" top="0.59055118110236227" bottom="0.55118110236220474" header="0.51181102362204722" footer="0.31496062992125984"/>
  <pageSetup paperSize="9" scale="54" firstPageNumber="0" orientation="portrait" horizontalDpi="300" verticalDpi="300" r:id="rId1"/>
  <headerFooter alignWithMargins="0">
    <oddFooter>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115"/>
  <sheetViews>
    <sheetView view="pageBreakPreview" topLeftCell="B1" zoomScale="80" zoomScaleSheetLayoutView="80" workbookViewId="0">
      <selection activeCell="G1" sqref="G1"/>
    </sheetView>
  </sheetViews>
  <sheetFormatPr defaultColWidth="11.5703125" defaultRowHeight="15.75" x14ac:dyDescent="0.25"/>
  <cols>
    <col min="1" max="1" width="12.28515625" style="2" customWidth="1"/>
    <col min="2" max="2" width="72.28515625" style="25" customWidth="1"/>
    <col min="3" max="3" width="8.28515625" style="2" customWidth="1"/>
    <col min="4" max="4" width="16.140625" style="3" customWidth="1"/>
    <col min="5" max="5" width="15.85546875" style="3" customWidth="1"/>
    <col min="6" max="6" width="15.5703125" style="3" customWidth="1"/>
    <col min="7" max="7" width="14.5703125" style="3" customWidth="1"/>
    <col min="8" max="250" width="9.140625" style="2" customWidth="1"/>
  </cols>
  <sheetData>
    <row r="1" spans="1:7" ht="18.75" x14ac:dyDescent="0.25">
      <c r="G1" s="4" t="s">
        <v>904</v>
      </c>
    </row>
    <row r="2" spans="1:7" x14ac:dyDescent="0.25">
      <c r="G2" s="5" t="str">
        <f>+'4 Átvett és Felh bev'!G2</f>
        <v>a 2/2020.(II.27. ) önkormányzati rendelethez</v>
      </c>
    </row>
    <row r="3" spans="1:7" x14ac:dyDescent="0.25">
      <c r="E3" s="5"/>
      <c r="G3" s="5"/>
    </row>
    <row r="4" spans="1:7" ht="21.75" customHeight="1" x14ac:dyDescent="0.3">
      <c r="B4" s="411" t="s">
        <v>767</v>
      </c>
      <c r="C4" s="25"/>
      <c r="D4" s="25"/>
      <c r="E4" s="25"/>
      <c r="F4" s="28"/>
      <c r="G4" s="28"/>
    </row>
    <row r="5" spans="1:7" ht="18.75" x14ac:dyDescent="0.3">
      <c r="B5" s="411"/>
      <c r="C5" s="25"/>
      <c r="D5" s="25"/>
      <c r="E5" s="25"/>
      <c r="F5" s="28"/>
      <c r="G5" s="28"/>
    </row>
    <row r="6" spans="1:7" x14ac:dyDescent="0.25">
      <c r="B6" s="412" t="s">
        <v>720</v>
      </c>
      <c r="C6" s="25"/>
      <c r="D6" s="25"/>
      <c r="E6" s="25"/>
      <c r="F6" s="28"/>
      <c r="G6" s="28"/>
    </row>
    <row r="7" spans="1:7" ht="15.75" customHeight="1" x14ac:dyDescent="0.25">
      <c r="D7" s="583" t="s">
        <v>6</v>
      </c>
      <c r="E7" s="583"/>
      <c r="F7" s="584" t="s">
        <v>7</v>
      </c>
      <c r="G7" s="584"/>
    </row>
    <row r="8" spans="1:7" ht="31.5" x14ac:dyDescent="0.25">
      <c r="A8" s="2" t="s">
        <v>325</v>
      </c>
      <c r="B8" s="413" t="s">
        <v>8</v>
      </c>
      <c r="C8" s="35" t="s">
        <v>33</v>
      </c>
      <c r="D8" s="37" t="s">
        <v>407</v>
      </c>
      <c r="E8" s="37" t="s">
        <v>408</v>
      </c>
      <c r="F8" s="37" t="s">
        <v>407</v>
      </c>
      <c r="G8" s="37" t="s">
        <v>408</v>
      </c>
    </row>
    <row r="9" spans="1:7" x14ac:dyDescent="0.25">
      <c r="A9" s="2" t="s">
        <v>410</v>
      </c>
      <c r="B9" s="79"/>
      <c r="C9" s="12"/>
      <c r="D9" s="13"/>
      <c r="E9" s="13">
        <v>0</v>
      </c>
      <c r="F9" s="13"/>
      <c r="G9" s="434">
        <v>0</v>
      </c>
    </row>
    <row r="10" spans="1:7" x14ac:dyDescent="0.25">
      <c r="A10" s="2" t="s">
        <v>472</v>
      </c>
      <c r="B10" s="79"/>
      <c r="C10" s="12" t="s">
        <v>88</v>
      </c>
      <c r="D10" s="13"/>
      <c r="E10" s="13"/>
      <c r="F10" s="13"/>
      <c r="G10" s="434"/>
    </row>
    <row r="11" spans="1:7" s="84" customFormat="1" x14ac:dyDescent="0.25">
      <c r="A11" s="2" t="s">
        <v>325</v>
      </c>
      <c r="B11" s="102" t="s">
        <v>473</v>
      </c>
      <c r="C11" s="75" t="s">
        <v>88</v>
      </c>
      <c r="D11" s="76">
        <f>SUM(D9:D10)</f>
        <v>0</v>
      </c>
      <c r="E11" s="76">
        <f>SUM(E9:E10)</f>
        <v>0</v>
      </c>
      <c r="F11" s="76">
        <f>SUM(F9:F10)</f>
        <v>0</v>
      </c>
      <c r="G11" s="440">
        <f>SUM(G9:G10)</f>
        <v>0</v>
      </c>
    </row>
    <row r="12" spans="1:7" x14ac:dyDescent="0.25">
      <c r="A12" s="2" t="s">
        <v>457</v>
      </c>
      <c r="B12" s="54"/>
      <c r="C12" s="52"/>
      <c r="D12" s="13"/>
      <c r="E12" s="13"/>
      <c r="F12" s="13"/>
      <c r="G12" s="434"/>
    </row>
    <row r="13" spans="1:7" ht="31.5" x14ac:dyDescent="0.25">
      <c r="B13" s="79" t="s">
        <v>801</v>
      </c>
      <c r="C13" s="52" t="s">
        <v>90</v>
      </c>
      <c r="D13" s="13">
        <f>ROUNDUP(7650000/1.27,0)</f>
        <v>6023623</v>
      </c>
      <c r="E13" s="13"/>
      <c r="F13" s="13">
        <f>ROUNDUP(7650000/1.27,0)</f>
        <v>6023623</v>
      </c>
      <c r="G13" s="434"/>
    </row>
    <row r="14" spans="1:7" ht="31.5" x14ac:dyDescent="0.25">
      <c r="B14" s="79" t="s">
        <v>802</v>
      </c>
      <c r="C14" s="52" t="s">
        <v>90</v>
      </c>
      <c r="D14" s="13">
        <f>ROUNDUP(21600000/1.27,0)</f>
        <v>17007875</v>
      </c>
      <c r="E14" s="13"/>
      <c r="F14" s="13">
        <f>ROUNDUP(21600000/1.27,0)</f>
        <v>17007875</v>
      </c>
      <c r="G14" s="434"/>
    </row>
    <row r="15" spans="1:7" x14ac:dyDescent="0.25">
      <c r="B15" s="101" t="s">
        <v>794</v>
      </c>
      <c r="C15" s="52" t="s">
        <v>90</v>
      </c>
      <c r="D15" s="13"/>
      <c r="E15" s="13">
        <v>7925000</v>
      </c>
      <c r="F15" s="13"/>
      <c r="G15" s="434">
        <v>7925000</v>
      </c>
    </row>
    <row r="16" spans="1:7" x14ac:dyDescent="0.25">
      <c r="B16" s="101" t="s">
        <v>807</v>
      </c>
      <c r="C16" s="52" t="s">
        <v>90</v>
      </c>
      <c r="D16" s="13">
        <f>9970030</f>
        <v>9970030</v>
      </c>
      <c r="E16" s="13"/>
      <c r="F16" s="13">
        <f>9970030</f>
        <v>9970030</v>
      </c>
      <c r="G16" s="434"/>
    </row>
    <row r="17" spans="1:7" x14ac:dyDescent="0.25">
      <c r="B17" s="101" t="s">
        <v>793</v>
      </c>
      <c r="C17" s="52" t="s">
        <v>90</v>
      </c>
      <c r="D17" s="13">
        <v>37361000</v>
      </c>
      <c r="E17" s="13"/>
      <c r="F17" s="13">
        <v>37361000</v>
      </c>
      <c r="G17" s="434"/>
    </row>
    <row r="18" spans="1:7" x14ac:dyDescent="0.25">
      <c r="B18" s="101" t="s">
        <v>776</v>
      </c>
      <c r="C18" s="52" t="s">
        <v>90</v>
      </c>
      <c r="D18" s="13">
        <f>ROUNDUP(228378802/1.27,0)</f>
        <v>179825829</v>
      </c>
      <c r="E18" s="13"/>
      <c r="F18" s="13">
        <f>ROUNDUP(228378802/1.27,0)</f>
        <v>179825829</v>
      </c>
      <c r="G18" s="434"/>
    </row>
    <row r="19" spans="1:7" x14ac:dyDescent="0.25">
      <c r="B19" s="101" t="s">
        <v>439</v>
      </c>
      <c r="C19" s="52" t="s">
        <v>90</v>
      </c>
      <c r="D19" s="13"/>
      <c r="E19" s="13">
        <f>32780284+E15</f>
        <v>40705284</v>
      </c>
      <c r="F19" s="13"/>
      <c r="G19" s="434">
        <f>32780284+G15</f>
        <v>40705284</v>
      </c>
    </row>
    <row r="20" spans="1:7" x14ac:dyDescent="0.25">
      <c r="A20" s="2" t="s">
        <v>474</v>
      </c>
      <c r="B20" s="420" t="s">
        <v>716</v>
      </c>
      <c r="C20" s="52" t="s">
        <v>90</v>
      </c>
      <c r="D20" s="13">
        <f>ROUNDUP(21500000/1,0)</f>
        <v>21500000</v>
      </c>
      <c r="E20" s="13"/>
      <c r="F20" s="13">
        <f>ROUNDUP(21500000/1,0)</f>
        <v>21500000</v>
      </c>
      <c r="G20" s="434"/>
    </row>
    <row r="21" spans="1:7" s="84" customFormat="1" x14ac:dyDescent="0.25">
      <c r="A21" s="16"/>
      <c r="B21" s="102" t="s">
        <v>475</v>
      </c>
      <c r="C21" s="75" t="s">
        <v>90</v>
      </c>
      <c r="D21" s="76">
        <f>SUM(D12:D20)</f>
        <v>271688357</v>
      </c>
      <c r="E21" s="76">
        <f>SUM(E12:E20)</f>
        <v>48630284</v>
      </c>
      <c r="F21" s="76">
        <f>SUM(F12:F20)</f>
        <v>271688357</v>
      </c>
      <c r="G21" s="440">
        <f>SUM(G12:G20)</f>
        <v>48630284</v>
      </c>
    </row>
    <row r="22" spans="1:7" x14ac:dyDescent="0.25">
      <c r="B22" s="54"/>
      <c r="C22" s="52"/>
      <c r="D22" s="13"/>
      <c r="E22" s="13"/>
      <c r="F22" s="13"/>
      <c r="G22" s="434"/>
    </row>
    <row r="23" spans="1:7" x14ac:dyDescent="0.25">
      <c r="B23" s="79"/>
      <c r="C23" s="52" t="s">
        <v>92</v>
      </c>
      <c r="D23" s="13"/>
      <c r="E23" s="13"/>
      <c r="F23" s="13"/>
      <c r="G23" s="434"/>
    </row>
    <row r="24" spans="1:7" s="84" customFormat="1" x14ac:dyDescent="0.25">
      <c r="A24" s="2" t="s">
        <v>325</v>
      </c>
      <c r="B24" s="74" t="s">
        <v>476</v>
      </c>
      <c r="C24" s="75" t="s">
        <v>92</v>
      </c>
      <c r="D24" s="76">
        <f>SUM(D22:D23)</f>
        <v>0</v>
      </c>
      <c r="E24" s="76">
        <f>SUM(E22:E23)</f>
        <v>0</v>
      </c>
      <c r="F24" s="76">
        <f>SUM(F22:F23)</f>
        <v>0</v>
      </c>
      <c r="G24" s="440">
        <f>SUM(G22:G23)</f>
        <v>0</v>
      </c>
    </row>
    <row r="25" spans="1:7" x14ac:dyDescent="0.25">
      <c r="A25" s="2" t="s">
        <v>410</v>
      </c>
      <c r="B25" s="41"/>
      <c r="C25" s="52"/>
      <c r="D25" s="13"/>
      <c r="E25" s="13"/>
      <c r="F25" s="13"/>
      <c r="G25" s="434"/>
    </row>
    <row r="26" spans="1:7" x14ac:dyDescent="0.25">
      <c r="B26" s="41" t="s">
        <v>821</v>
      </c>
      <c r="C26" s="52" t="s">
        <v>94</v>
      </c>
      <c r="D26" s="13"/>
      <c r="E26" s="13"/>
      <c r="F26" s="13"/>
      <c r="G26" s="434">
        <v>7540000</v>
      </c>
    </row>
    <row r="27" spans="1:7" x14ac:dyDescent="0.25">
      <c r="B27" s="101" t="s">
        <v>799</v>
      </c>
      <c r="C27" s="52" t="s">
        <v>94</v>
      </c>
      <c r="D27" s="13">
        <f>ROUNDUP(11600000/1.27,0)</f>
        <v>9133859</v>
      </c>
      <c r="E27" s="13"/>
      <c r="F27" s="13">
        <f>ROUNDUP(11600000/1.27,0)</f>
        <v>9133859</v>
      </c>
      <c r="G27" s="434"/>
    </row>
    <row r="28" spans="1:7" x14ac:dyDescent="0.25">
      <c r="B28" s="101" t="s">
        <v>795</v>
      </c>
      <c r="C28" s="52" t="s">
        <v>94</v>
      </c>
      <c r="D28" s="13">
        <f>ROUNDUP(2200000/1,0)</f>
        <v>2200000</v>
      </c>
      <c r="E28" s="13"/>
      <c r="F28" s="13">
        <f>ROUNDUP(2200000/1,0)</f>
        <v>2200000</v>
      </c>
      <c r="G28" s="434"/>
    </row>
    <row r="29" spans="1:7" ht="16.5" customHeight="1" x14ac:dyDescent="0.25">
      <c r="B29" s="101" t="s">
        <v>780</v>
      </c>
      <c r="C29" s="52" t="s">
        <v>94</v>
      </c>
      <c r="E29" s="13">
        <v>10000000</v>
      </c>
      <c r="G29" s="434">
        <v>10000000</v>
      </c>
    </row>
    <row r="30" spans="1:7" x14ac:dyDescent="0.25">
      <c r="B30" s="79" t="s">
        <v>806</v>
      </c>
      <c r="C30" s="52" t="s">
        <v>94</v>
      </c>
      <c r="D30" s="13">
        <f>ROUNDUP(168733611/1.27,0)-3141000-101685219</f>
        <v>28034893</v>
      </c>
      <c r="E30" s="13"/>
      <c r="F30" s="13">
        <f>ROUNDUP(168733611/1.27,0)-3141000-101685219</f>
        <v>28034893</v>
      </c>
      <c r="G30" s="434"/>
    </row>
    <row r="31" spans="1:7" ht="31.5" x14ac:dyDescent="0.25">
      <c r="A31" s="2" t="s">
        <v>477</v>
      </c>
      <c r="B31" s="101" t="s">
        <v>478</v>
      </c>
      <c r="C31" s="52" t="s">
        <v>94</v>
      </c>
      <c r="D31" s="13"/>
      <c r="E31" s="13">
        <f>108540948-1500000+380000-104989358-1000000</f>
        <v>1431590</v>
      </c>
      <c r="F31" s="13"/>
      <c r="G31" s="434">
        <f>108540948-1500000+380000-104989358-1000000</f>
        <v>1431590</v>
      </c>
    </row>
    <row r="32" spans="1:7" ht="16.5" customHeight="1" x14ac:dyDescent="0.25">
      <c r="B32" s="101" t="s">
        <v>797</v>
      </c>
      <c r="C32" s="52" t="s">
        <v>94</v>
      </c>
      <c r="D32" s="13">
        <f>ROUNDUP(6000000/1.27,0)</f>
        <v>4724410</v>
      </c>
      <c r="E32" s="13"/>
      <c r="F32" s="13">
        <f>ROUNDUP(6000000/1.27,0)</f>
        <v>4724410</v>
      </c>
      <c r="G32" s="434"/>
    </row>
    <row r="33" spans="1:7" ht="16.5" customHeight="1" x14ac:dyDescent="0.25">
      <c r="B33" s="101" t="s">
        <v>735</v>
      </c>
      <c r="C33" s="52" t="s">
        <v>94</v>
      </c>
      <c r="D33" s="13"/>
      <c r="E33" s="13">
        <f>3782706-1510100</f>
        <v>2272606</v>
      </c>
      <c r="F33" s="13"/>
      <c r="G33" s="434">
        <f>3782706-1510100</f>
        <v>2272606</v>
      </c>
    </row>
    <row r="34" spans="1:7" ht="16.5" customHeight="1" x14ac:dyDescent="0.25">
      <c r="B34" s="101" t="s">
        <v>730</v>
      </c>
      <c r="C34" s="52" t="s">
        <v>94</v>
      </c>
      <c r="D34" s="13">
        <f>424126000-ROUND(D16/1.27,0)-16</f>
        <v>416275567</v>
      </c>
      <c r="E34" s="13"/>
      <c r="F34" s="13">
        <f>424126000-ROUND(F16/1.27,0)-16</f>
        <v>416275567</v>
      </c>
      <c r="G34" s="434"/>
    </row>
    <row r="35" spans="1:7" ht="16.5" customHeight="1" x14ac:dyDescent="0.25">
      <c r="B35" s="79" t="s">
        <v>479</v>
      </c>
      <c r="C35" s="52" t="s">
        <v>94</v>
      </c>
      <c r="D35" s="13"/>
      <c r="E35" s="13">
        <f>3896945-2559055</f>
        <v>1337890</v>
      </c>
      <c r="F35" s="13"/>
      <c r="G35" s="434">
        <f>3896945-2559055</f>
        <v>1337890</v>
      </c>
    </row>
    <row r="36" spans="1:7" x14ac:dyDescent="0.25">
      <c r="B36" s="101" t="s">
        <v>739</v>
      </c>
      <c r="C36" s="52" t="s">
        <v>94</v>
      </c>
      <c r="D36" s="13">
        <v>13620806</v>
      </c>
      <c r="E36" s="13"/>
      <c r="F36" s="13">
        <v>13620806</v>
      </c>
      <c r="G36" s="434"/>
    </row>
    <row r="37" spans="1:7" s="84" customFormat="1" x14ac:dyDescent="0.25">
      <c r="A37" s="16"/>
      <c r="B37" s="102" t="s">
        <v>480</v>
      </c>
      <c r="C37" s="75" t="s">
        <v>94</v>
      </c>
      <c r="D37" s="76">
        <f>SUM(D25:D36)</f>
        <v>473989535</v>
      </c>
      <c r="E37" s="76">
        <f>SUM(E25:E36)</f>
        <v>15042086</v>
      </c>
      <c r="F37" s="76">
        <f>SUM(F25:F36)</f>
        <v>473989535</v>
      </c>
      <c r="G37" s="440">
        <f>SUM(G25:G36)</f>
        <v>22582086</v>
      </c>
    </row>
    <row r="38" spans="1:7" x14ac:dyDescent="0.25">
      <c r="B38" s="54"/>
      <c r="C38" s="52"/>
      <c r="D38" s="13"/>
      <c r="E38" s="13"/>
      <c r="F38" s="13"/>
      <c r="G38" s="434"/>
    </row>
    <row r="39" spans="1:7" s="84" customFormat="1" x14ac:dyDescent="0.25">
      <c r="A39" s="16"/>
      <c r="B39" s="102" t="s">
        <v>481</v>
      </c>
      <c r="C39" s="75" t="s">
        <v>96</v>
      </c>
      <c r="D39" s="76">
        <f>SUM(D38:D38)</f>
        <v>0</v>
      </c>
      <c r="E39" s="76">
        <f>SUM(E38:E38)</f>
        <v>0</v>
      </c>
      <c r="F39" s="76">
        <f>SUM(F38:F38)</f>
        <v>0</v>
      </c>
      <c r="G39" s="440">
        <f>SUM(G38:G38)</f>
        <v>0</v>
      </c>
    </row>
    <row r="40" spans="1:7" x14ac:dyDescent="0.25">
      <c r="B40" s="54"/>
      <c r="C40" s="52"/>
      <c r="D40" s="13"/>
      <c r="E40" s="13"/>
      <c r="F40" s="13"/>
      <c r="G40" s="434"/>
    </row>
    <row r="41" spans="1:7" s="84" customFormat="1" x14ac:dyDescent="0.25">
      <c r="A41" s="16"/>
      <c r="B41" s="74" t="s">
        <v>482</v>
      </c>
      <c r="C41" s="75" t="s">
        <v>98</v>
      </c>
      <c r="D41" s="76">
        <f>SUM(D40:D40)</f>
        <v>0</v>
      </c>
      <c r="E41" s="76">
        <f>SUM(E40:E40)</f>
        <v>0</v>
      </c>
      <c r="F41" s="76">
        <f>SUM(F40:F40)</f>
        <v>0</v>
      </c>
      <c r="G41" s="440">
        <f>SUM(G40:G40)</f>
        <v>0</v>
      </c>
    </row>
    <row r="42" spans="1:7" s="84" customFormat="1" x14ac:dyDescent="0.25">
      <c r="A42" s="16"/>
      <c r="B42" s="41"/>
      <c r="C42" s="52"/>
      <c r="D42" s="13"/>
      <c r="E42" s="13"/>
      <c r="F42" s="13"/>
      <c r="G42" s="434"/>
    </row>
    <row r="43" spans="1:7" x14ac:dyDescent="0.25">
      <c r="B43" s="41" t="s">
        <v>822</v>
      </c>
      <c r="C43" s="52" t="s">
        <v>100</v>
      </c>
      <c r="D43" s="13"/>
      <c r="E43" s="13"/>
      <c r="F43" s="13"/>
      <c r="G43" s="434">
        <v>1140900</v>
      </c>
    </row>
    <row r="44" spans="1:7" ht="31.5" x14ac:dyDescent="0.25">
      <c r="B44" s="79" t="s">
        <v>803</v>
      </c>
      <c r="C44" s="52" t="s">
        <v>100</v>
      </c>
      <c r="D44" s="13">
        <f>ROUNDDOWN(+D13*0.27,0)</f>
        <v>1626378</v>
      </c>
      <c r="E44" s="13"/>
      <c r="F44" s="13">
        <f>ROUNDDOWN(+F13*0.27,0)</f>
        <v>1626378</v>
      </c>
      <c r="G44" s="434"/>
    </row>
    <row r="45" spans="1:7" ht="31.5" x14ac:dyDescent="0.25">
      <c r="B45" s="79" t="s">
        <v>804</v>
      </c>
      <c r="C45" s="52" t="s">
        <v>100</v>
      </c>
      <c r="D45" s="13">
        <f>ROUNDDOWN(+D14*0.27,0)</f>
        <v>4592126</v>
      </c>
      <c r="E45" s="13"/>
      <c r="F45" s="13">
        <f>ROUNDDOWN(+F14*0.27,0)</f>
        <v>4592126</v>
      </c>
      <c r="G45" s="434"/>
    </row>
    <row r="46" spans="1:7" x14ac:dyDescent="0.25">
      <c r="B46" s="101" t="s">
        <v>800</v>
      </c>
      <c r="C46" s="52" t="s">
        <v>100</v>
      </c>
      <c r="D46" s="13">
        <f>ROUNDDOWN(+D27*0.27,0)</f>
        <v>2466141</v>
      </c>
      <c r="E46" s="13"/>
      <c r="F46" s="13">
        <f>ROUNDDOWN(+F27*0.27,0)</f>
        <v>2466141</v>
      </c>
      <c r="G46" s="434"/>
    </row>
    <row r="47" spans="1:7" x14ac:dyDescent="0.25">
      <c r="B47" s="101" t="s">
        <v>796</v>
      </c>
      <c r="C47" s="52" t="s">
        <v>100</v>
      </c>
      <c r="D47" s="13">
        <f>ROUNDDOWN(+D28*0.27,0)</f>
        <v>594000</v>
      </c>
      <c r="E47" s="13"/>
      <c r="F47" s="13">
        <f>ROUNDDOWN(+F28*0.27,0)</f>
        <v>594000</v>
      </c>
      <c r="G47" s="434"/>
    </row>
    <row r="48" spans="1:7" x14ac:dyDescent="0.25">
      <c r="B48" s="101" t="s">
        <v>782</v>
      </c>
      <c r="C48" s="52" t="s">
        <v>100</v>
      </c>
      <c r="D48" s="13">
        <f>ROUNDDOWN(+D18*0.27,0)</f>
        <v>48552973</v>
      </c>
      <c r="E48" s="13"/>
      <c r="F48" s="13">
        <f>ROUNDDOWN(+F18*0.27,0)</f>
        <v>48552973</v>
      </c>
      <c r="G48" s="434"/>
    </row>
    <row r="49" spans="1:7" x14ac:dyDescent="0.25">
      <c r="B49" s="101" t="s">
        <v>781</v>
      </c>
      <c r="C49" s="52" t="s">
        <v>100</v>
      </c>
      <c r="E49" s="13">
        <f>ROUNDDOWN(+E29*0.27,0)</f>
        <v>2700000</v>
      </c>
      <c r="G49" s="434">
        <f>ROUNDDOWN(+G29*0.27,0)</f>
        <v>2700000</v>
      </c>
    </row>
    <row r="50" spans="1:7" x14ac:dyDescent="0.25">
      <c r="B50" s="79" t="s">
        <v>496</v>
      </c>
      <c r="C50" s="52" t="s">
        <v>100</v>
      </c>
      <c r="D50" s="13">
        <f>ROUNDDOWN(+D30*0.27,0)-1-848070</f>
        <v>6721350</v>
      </c>
      <c r="E50" s="13"/>
      <c r="F50" s="13">
        <f>ROUNDDOWN(+F30*0.27,0)-1-848070</f>
        <v>6721350</v>
      </c>
      <c r="G50" s="434"/>
    </row>
    <row r="51" spans="1:7" x14ac:dyDescent="0.25">
      <c r="B51" s="101" t="s">
        <v>506</v>
      </c>
      <c r="C51" s="52" t="s">
        <v>100</v>
      </c>
      <c r="D51" s="13"/>
      <c r="E51" s="13">
        <v>0</v>
      </c>
      <c r="F51" s="13"/>
      <c r="G51" s="434">
        <v>0</v>
      </c>
    </row>
    <row r="52" spans="1:7" x14ac:dyDescent="0.25">
      <c r="A52" s="2">
        <v>10</v>
      </c>
      <c r="B52" s="101" t="s">
        <v>728</v>
      </c>
      <c r="C52" s="52" t="s">
        <v>100</v>
      </c>
      <c r="D52" s="13"/>
      <c r="E52" s="13">
        <f>ROUNDUP(+E31*0.27,0)</f>
        <v>386530</v>
      </c>
      <c r="F52" s="13"/>
      <c r="G52" s="434">
        <f>ROUNDUP(+G31*0.27,0)</f>
        <v>386530</v>
      </c>
    </row>
    <row r="53" spans="1:7" x14ac:dyDescent="0.25">
      <c r="B53" s="101" t="s">
        <v>483</v>
      </c>
      <c r="C53" s="52" t="s">
        <v>100</v>
      </c>
      <c r="D53" s="13">
        <f>ROUNDDOWN(+D32*0.27,0)</f>
        <v>1275590</v>
      </c>
      <c r="E53" s="13"/>
      <c r="F53" s="13">
        <f>ROUNDDOWN(+F32*0.27,0)</f>
        <v>1275590</v>
      </c>
      <c r="G53" s="434"/>
    </row>
    <row r="54" spans="1:7" x14ac:dyDescent="0.25">
      <c r="B54" s="101" t="s">
        <v>735</v>
      </c>
      <c r="C54" s="52" t="s">
        <v>100</v>
      </c>
      <c r="D54" s="13"/>
      <c r="E54" s="13">
        <f>1021151-407727</f>
        <v>613424</v>
      </c>
      <c r="F54" s="13"/>
      <c r="G54" s="434">
        <f>1021151-407727</f>
        <v>613424</v>
      </c>
    </row>
    <row r="55" spans="1:7" x14ac:dyDescent="0.25">
      <c r="B55" s="101" t="s">
        <v>733</v>
      </c>
      <c r="C55" s="52" t="s">
        <v>100</v>
      </c>
      <c r="D55" s="13">
        <f>ROUND(+D34*0.27,0)</f>
        <v>112394403</v>
      </c>
      <c r="E55" s="13"/>
      <c r="F55" s="13">
        <f>ROUND(+F34*0.27,0)</f>
        <v>112394403</v>
      </c>
      <c r="G55" s="434"/>
    </row>
    <row r="56" spans="1:7" x14ac:dyDescent="0.25">
      <c r="B56" s="369" t="s">
        <v>744</v>
      </c>
      <c r="C56" s="252" t="s">
        <v>100</v>
      </c>
      <c r="D56" s="13"/>
      <c r="E56" s="13">
        <f>1052175-690945</f>
        <v>361230</v>
      </c>
      <c r="F56" s="13"/>
      <c r="G56" s="434">
        <f>1052175-690945</f>
        <v>361230</v>
      </c>
    </row>
    <row r="57" spans="1:7" ht="31.5" x14ac:dyDescent="0.25">
      <c r="B57" s="101" t="s">
        <v>745</v>
      </c>
      <c r="C57" s="52" t="s">
        <v>100</v>
      </c>
      <c r="D57" s="13">
        <v>3677618</v>
      </c>
      <c r="E57" s="13">
        <v>0</v>
      </c>
      <c r="F57" s="13">
        <v>3677618</v>
      </c>
      <c r="G57" s="434">
        <v>0</v>
      </c>
    </row>
    <row r="58" spans="1:7" s="84" customFormat="1" x14ac:dyDescent="0.25">
      <c r="A58" s="16" t="s">
        <v>484</v>
      </c>
      <c r="B58" s="74" t="s">
        <v>485</v>
      </c>
      <c r="C58" s="75" t="s">
        <v>100</v>
      </c>
      <c r="D58" s="76">
        <f>SUM(D43:D57)</f>
        <v>181900579</v>
      </c>
      <c r="E58" s="76">
        <f>SUM(E43:E57)</f>
        <v>4061184</v>
      </c>
      <c r="F58" s="76">
        <f>SUM(F43:F57)</f>
        <v>181900579</v>
      </c>
      <c r="G58" s="440">
        <f>SUM(G43:G57)</f>
        <v>5202084</v>
      </c>
    </row>
    <row r="59" spans="1:7" s="77" customFormat="1" x14ac:dyDescent="0.25">
      <c r="A59" s="2" t="s">
        <v>325</v>
      </c>
      <c r="B59" s="102" t="s">
        <v>486</v>
      </c>
      <c r="C59" s="75" t="s">
        <v>102</v>
      </c>
      <c r="D59" s="76">
        <f>+D58+D41+D39+D37+D24+D21+D11</f>
        <v>927578471</v>
      </c>
      <c r="E59" s="76">
        <f>+E58+E41+E39+E37+E24+E21+E11</f>
        <v>67733554</v>
      </c>
      <c r="F59" s="76">
        <f>+F58+F41+F39+F37+F24+F21+F11</f>
        <v>927578471</v>
      </c>
      <c r="G59" s="440">
        <f>+G58+G41+G39+G37+G24+G21+G11</f>
        <v>76414454</v>
      </c>
    </row>
    <row r="60" spans="1:7" s="2" customFormat="1" x14ac:dyDescent="0.25">
      <c r="A60" s="2" t="s">
        <v>457</v>
      </c>
      <c r="B60" s="79"/>
      <c r="C60" s="53"/>
      <c r="D60" s="13"/>
      <c r="E60" s="13"/>
      <c r="F60" s="13"/>
      <c r="G60" s="434"/>
    </row>
    <row r="61" spans="1:7" s="2" customFormat="1" x14ac:dyDescent="0.25">
      <c r="A61" s="2" t="s">
        <v>487</v>
      </c>
      <c r="B61" s="79"/>
      <c r="C61" s="52"/>
      <c r="D61" s="13"/>
      <c r="E61" s="13"/>
      <c r="F61" s="13"/>
      <c r="G61" s="434"/>
    </row>
    <row r="62" spans="1:7" s="2" customFormat="1" x14ac:dyDescent="0.25">
      <c r="B62" s="79" t="s">
        <v>785</v>
      </c>
      <c r="C62" s="52" t="s">
        <v>104</v>
      </c>
      <c r="D62" s="13">
        <f>ROUNDUP(250000000/1,0)</f>
        <v>250000000</v>
      </c>
      <c r="E62" s="13"/>
      <c r="F62" s="13">
        <f>ROUNDUP(250000000/1,0)</f>
        <v>250000000</v>
      </c>
      <c r="G62" s="434"/>
    </row>
    <row r="63" spans="1:7" s="2" customFormat="1" x14ac:dyDescent="0.25">
      <c r="B63" s="79" t="s">
        <v>786</v>
      </c>
      <c r="C63" s="52" t="s">
        <v>104</v>
      </c>
      <c r="D63" s="13">
        <f>ROUNDUP(6000000/1,0)</f>
        <v>6000000</v>
      </c>
      <c r="E63" s="13"/>
      <c r="F63" s="13">
        <f>ROUNDUP(6000000/1,0)</f>
        <v>6000000</v>
      </c>
      <c r="G63" s="434"/>
    </row>
    <row r="64" spans="1:7" s="2" customFormat="1" x14ac:dyDescent="0.25">
      <c r="B64" s="79" t="s">
        <v>787</v>
      </c>
      <c r="C64" s="52" t="s">
        <v>104</v>
      </c>
      <c r="D64" s="13">
        <f>ROUNDUP(4285000/1,0)</f>
        <v>4285000</v>
      </c>
      <c r="E64" s="13"/>
      <c r="F64" s="13">
        <f>ROUNDUP(4285000/1,0)</f>
        <v>4285000</v>
      </c>
      <c r="G64" s="434"/>
    </row>
    <row r="65" spans="1:7" s="2" customFormat="1" x14ac:dyDescent="0.25">
      <c r="B65" s="79" t="s">
        <v>788</v>
      </c>
      <c r="C65" s="52" t="s">
        <v>104</v>
      </c>
      <c r="D65" s="13">
        <f>ROUNDUP(4770000/1,0)</f>
        <v>4770000</v>
      </c>
      <c r="E65" s="13"/>
      <c r="F65" s="13">
        <f>ROUNDUP(4770000/1,0)</f>
        <v>4770000</v>
      </c>
      <c r="G65" s="434"/>
    </row>
    <row r="66" spans="1:7" s="2" customFormat="1" ht="31.5" x14ac:dyDescent="0.25">
      <c r="B66" s="79" t="s">
        <v>438</v>
      </c>
      <c r="C66" s="52" t="s">
        <v>104</v>
      </c>
      <c r="D66" s="13">
        <f>ROUNDUP(+'4 Átvett és Felh bev'!D66/1.27,0)</f>
        <v>177571</v>
      </c>
      <c r="E66" s="13"/>
      <c r="F66" s="13">
        <f>ROUNDUP(+'4 Átvett és Felh bev'!F66/1.27,0)</f>
        <v>177571</v>
      </c>
      <c r="G66" s="434"/>
    </row>
    <row r="67" spans="1:7" s="2" customFormat="1" x14ac:dyDescent="0.25">
      <c r="A67" s="2" t="s">
        <v>488</v>
      </c>
      <c r="B67" s="79" t="s">
        <v>434</v>
      </c>
      <c r="C67" s="52" t="s">
        <v>104</v>
      </c>
      <c r="D67" s="13">
        <f>ROUNDUP(+'4 Átvett és Felh bev'!D64/1.27,0)</f>
        <v>135599</v>
      </c>
      <c r="E67" s="13"/>
      <c r="F67" s="13">
        <f>ROUNDUP(+'4 Átvett és Felh bev'!F64/1.27,0)</f>
        <v>135599</v>
      </c>
      <c r="G67" s="434"/>
    </row>
    <row r="68" spans="1:7" ht="18" customHeight="1" x14ac:dyDescent="0.25">
      <c r="A68" s="2" t="s">
        <v>489</v>
      </c>
      <c r="B68" s="101" t="s">
        <v>436</v>
      </c>
      <c r="C68" s="52" t="s">
        <v>104</v>
      </c>
      <c r="D68" s="13">
        <v>353700000</v>
      </c>
      <c r="E68" s="13"/>
      <c r="F68" s="13">
        <v>353700000</v>
      </c>
      <c r="G68" s="434"/>
    </row>
    <row r="69" spans="1:7" x14ac:dyDescent="0.25">
      <c r="A69" s="2" t="s">
        <v>490</v>
      </c>
      <c r="B69" s="101" t="s">
        <v>441</v>
      </c>
      <c r="C69" s="52" t="s">
        <v>104</v>
      </c>
      <c r="D69" s="13">
        <f>145863000-3050800-1585720-132743383+295100</f>
        <v>8778197</v>
      </c>
      <c r="E69" s="13"/>
      <c r="F69" s="13">
        <f>145863000-3050800-1585720-132743383+295100-1535000</f>
        <v>7243197</v>
      </c>
      <c r="G69" s="434"/>
    </row>
    <row r="70" spans="1:7" x14ac:dyDescent="0.25">
      <c r="B70" s="101" t="s">
        <v>442</v>
      </c>
      <c r="C70" s="52" t="s">
        <v>104</v>
      </c>
      <c r="D70" s="13">
        <v>11930593</v>
      </c>
      <c r="E70" s="13"/>
      <c r="F70" s="13">
        <f>11930593-1578307</f>
        <v>10352286</v>
      </c>
      <c r="G70" s="434"/>
    </row>
    <row r="71" spans="1:7" x14ac:dyDescent="0.25">
      <c r="B71" s="101" t="s">
        <v>440</v>
      </c>
      <c r="C71" s="52" t="s">
        <v>104</v>
      </c>
      <c r="D71" s="13"/>
      <c r="E71" s="13">
        <v>120509000</v>
      </c>
      <c r="F71" s="13"/>
      <c r="G71" s="434">
        <v>120509000</v>
      </c>
    </row>
    <row r="72" spans="1:7" x14ac:dyDescent="0.25">
      <c r="A72" s="2" t="s">
        <v>491</v>
      </c>
      <c r="B72" s="101" t="s">
        <v>437</v>
      </c>
      <c r="C72" s="52" t="s">
        <v>104</v>
      </c>
      <c r="D72" s="13">
        <f>ROUNDUP(+'4 Átvett és Felh bev'!D65/1.27,0)</f>
        <v>2582152</v>
      </c>
      <c r="E72" s="13"/>
      <c r="F72" s="13">
        <f>ROUNDUP(+'4 Átvett és Felh bev'!F65/1.27,0)</f>
        <v>2582152</v>
      </c>
      <c r="G72" s="434"/>
    </row>
    <row r="73" spans="1:7" x14ac:dyDescent="0.25">
      <c r="B73" s="101" t="s">
        <v>443</v>
      </c>
      <c r="C73" s="52" t="s">
        <v>104</v>
      </c>
      <c r="D73" s="13">
        <f>736722000-144674897-292708483-12000000-221279384</f>
        <v>66059236</v>
      </c>
      <c r="E73" s="13"/>
      <c r="F73" s="13">
        <f>736722000-144674897-292708483-12000000-221279384</f>
        <v>66059236</v>
      </c>
      <c r="G73" s="434"/>
    </row>
    <row r="74" spans="1:7" x14ac:dyDescent="0.25">
      <c r="B74" s="101" t="s">
        <v>739</v>
      </c>
      <c r="C74" s="52" t="s">
        <v>104</v>
      </c>
      <c r="D74" s="13">
        <v>49418843</v>
      </c>
      <c r="E74" s="13"/>
      <c r="F74" s="13">
        <v>49418843</v>
      </c>
      <c r="G74" s="434"/>
    </row>
    <row r="75" spans="1:7" x14ac:dyDescent="0.25">
      <c r="B75" s="101" t="s">
        <v>731</v>
      </c>
      <c r="C75" s="52" t="s">
        <v>104</v>
      </c>
      <c r="D75" s="13"/>
      <c r="E75" s="13">
        <v>12194920</v>
      </c>
      <c r="F75" s="13"/>
      <c r="G75" s="434">
        <v>12194920</v>
      </c>
    </row>
    <row r="76" spans="1:7" x14ac:dyDescent="0.25">
      <c r="B76" s="101" t="s">
        <v>769</v>
      </c>
      <c r="C76" s="52" t="s">
        <v>104</v>
      </c>
      <c r="D76" s="13">
        <v>31496063</v>
      </c>
      <c r="E76" s="13"/>
      <c r="F76" s="13">
        <v>31496063</v>
      </c>
      <c r="G76" s="434"/>
    </row>
    <row r="77" spans="1:7" x14ac:dyDescent="0.25">
      <c r="B77" s="101" t="s">
        <v>777</v>
      </c>
      <c r="C77" s="52" t="s">
        <v>104</v>
      </c>
      <c r="E77" s="13">
        <f>190850394+4736511-374740-4732</f>
        <v>195207433</v>
      </c>
      <c r="G77" s="434">
        <f>190850394+4736511-374740-4732</f>
        <v>195207433</v>
      </c>
    </row>
    <row r="78" spans="1:7" s="84" customFormat="1" x14ac:dyDescent="0.25">
      <c r="A78" s="16"/>
      <c r="B78" s="102" t="s">
        <v>492</v>
      </c>
      <c r="C78" s="75" t="s">
        <v>104</v>
      </c>
      <c r="D78" s="76">
        <f>SUM(D60:D77)</f>
        <v>789333254</v>
      </c>
      <c r="E78" s="76">
        <f t="shared" ref="E78:G78" si="0">SUM(E60:E77)</f>
        <v>327911353</v>
      </c>
      <c r="F78" s="76">
        <f t="shared" si="0"/>
        <v>786219947</v>
      </c>
      <c r="G78" s="76">
        <f t="shared" si="0"/>
        <v>327911353</v>
      </c>
    </row>
    <row r="79" spans="1:7" x14ac:dyDescent="0.25">
      <c r="B79" s="54"/>
      <c r="C79" s="52"/>
      <c r="D79" s="13"/>
      <c r="E79" s="13"/>
      <c r="F79" s="13"/>
      <c r="G79" s="434"/>
    </row>
    <row r="80" spans="1:7" s="84" customFormat="1" x14ac:dyDescent="0.25">
      <c r="A80" s="16"/>
      <c r="B80" s="102" t="s">
        <v>493</v>
      </c>
      <c r="C80" s="75" t="s">
        <v>106</v>
      </c>
      <c r="D80" s="76">
        <f>SUM(D79:D79)</f>
        <v>0</v>
      </c>
      <c r="E80" s="76">
        <f>SUM(E79:E79)</f>
        <v>0</v>
      </c>
      <c r="F80" s="76">
        <f>SUM(F79:F79)</f>
        <v>0</v>
      </c>
      <c r="G80" s="440">
        <f>SUM(G79:G79)</f>
        <v>0</v>
      </c>
    </row>
    <row r="81" spans="1:7" x14ac:dyDescent="0.25">
      <c r="A81" s="2" t="s">
        <v>494</v>
      </c>
      <c r="B81" s="101"/>
      <c r="C81" s="52"/>
      <c r="D81" s="13"/>
      <c r="E81" s="80"/>
      <c r="F81" s="13"/>
      <c r="G81" s="441"/>
    </row>
    <row r="82" spans="1:7" s="84" customFormat="1" x14ac:dyDescent="0.25">
      <c r="A82" s="16"/>
      <c r="B82" s="102" t="s">
        <v>495</v>
      </c>
      <c r="C82" s="75" t="s">
        <v>108</v>
      </c>
      <c r="D82" s="76">
        <f>SUM(D81:D81)</f>
        <v>0</v>
      </c>
      <c r="E82" s="76">
        <f>SUM(E81:E81)</f>
        <v>0</v>
      </c>
      <c r="F82" s="76">
        <f>SUM(F81:F81)</f>
        <v>0</v>
      </c>
      <c r="G82" s="440">
        <f>SUM(G81:G81)</f>
        <v>0</v>
      </c>
    </row>
    <row r="83" spans="1:7" x14ac:dyDescent="0.25">
      <c r="B83" s="54"/>
      <c r="C83" s="52"/>
      <c r="D83" s="13"/>
      <c r="E83" s="13"/>
      <c r="F83" s="13"/>
      <c r="G83" s="434"/>
    </row>
    <row r="84" spans="1:7" x14ac:dyDescent="0.25">
      <c r="B84" s="79" t="s">
        <v>789</v>
      </c>
      <c r="C84" s="52" t="s">
        <v>110</v>
      </c>
      <c r="D84" s="13">
        <f t="shared" ref="D84:F87" si="1">ROUNDDOWN(+D62*0.27,0)</f>
        <v>67500000</v>
      </c>
      <c r="E84" s="13"/>
      <c r="F84" s="13">
        <f t="shared" si="1"/>
        <v>67500000</v>
      </c>
      <c r="G84" s="434"/>
    </row>
    <row r="85" spans="1:7" x14ac:dyDescent="0.25">
      <c r="B85" s="79" t="s">
        <v>790</v>
      </c>
      <c r="C85" s="52" t="s">
        <v>110</v>
      </c>
      <c r="D85" s="13">
        <f t="shared" si="1"/>
        <v>1620000</v>
      </c>
      <c r="E85" s="13"/>
      <c r="F85" s="13">
        <f t="shared" si="1"/>
        <v>1620000</v>
      </c>
      <c r="G85" s="434"/>
    </row>
    <row r="86" spans="1:7" x14ac:dyDescent="0.25">
      <c r="B86" s="79" t="s">
        <v>791</v>
      </c>
      <c r="C86" s="52" t="s">
        <v>110</v>
      </c>
      <c r="D86" s="13">
        <f t="shared" si="1"/>
        <v>1156950</v>
      </c>
      <c r="E86" s="13"/>
      <c r="F86" s="13">
        <f t="shared" si="1"/>
        <v>1156950</v>
      </c>
      <c r="G86" s="434"/>
    </row>
    <row r="87" spans="1:7" x14ac:dyDescent="0.25">
      <c r="B87" s="79" t="s">
        <v>792</v>
      </c>
      <c r="C87" s="52" t="s">
        <v>110</v>
      </c>
      <c r="D87" s="13">
        <f t="shared" si="1"/>
        <v>1287900</v>
      </c>
      <c r="E87" s="13"/>
      <c r="F87" s="13">
        <f t="shared" si="1"/>
        <v>1287900</v>
      </c>
      <c r="G87" s="434"/>
    </row>
    <row r="88" spans="1:7" x14ac:dyDescent="0.25">
      <c r="B88" s="79" t="s">
        <v>734</v>
      </c>
      <c r="C88" s="52" t="s">
        <v>110</v>
      </c>
      <c r="D88" s="13">
        <f>ROUNDDOWN(+D66*0.27,0)</f>
        <v>47944</v>
      </c>
      <c r="E88" s="13"/>
      <c r="F88" s="13">
        <f>ROUNDDOWN(+F66*0.27,0)</f>
        <v>47944</v>
      </c>
      <c r="G88" s="434"/>
    </row>
    <row r="89" spans="1:7" x14ac:dyDescent="0.25">
      <c r="A89" s="2" t="s">
        <v>497</v>
      </c>
      <c r="B89" s="79" t="s">
        <v>498</v>
      </c>
      <c r="C89" s="52" t="s">
        <v>110</v>
      </c>
      <c r="D89" s="13">
        <f>ROUNDDOWN(+D67*0.27,0)</f>
        <v>36611</v>
      </c>
      <c r="E89" s="80"/>
      <c r="F89" s="13">
        <f>ROUNDDOWN(+F67*0.27,0)</f>
        <v>36611</v>
      </c>
      <c r="G89" s="441"/>
    </row>
    <row r="90" spans="1:7" x14ac:dyDescent="0.25">
      <c r="A90" s="2" t="s">
        <v>499</v>
      </c>
      <c r="B90" s="101" t="s">
        <v>500</v>
      </c>
      <c r="C90" s="52" t="s">
        <v>110</v>
      </c>
      <c r="D90" s="13">
        <f>ROUNDDOWN(+D72*0.27,0)</f>
        <v>697181</v>
      </c>
      <c r="E90" s="80"/>
      <c r="F90" s="13">
        <f>ROUNDDOWN(+F72*0.27,0)</f>
        <v>697181</v>
      </c>
      <c r="G90" s="441"/>
    </row>
    <row r="91" spans="1:7" x14ac:dyDescent="0.25">
      <c r="A91" s="2" t="s">
        <v>501</v>
      </c>
      <c r="B91" s="101" t="s">
        <v>502</v>
      </c>
      <c r="C91" s="52" t="s">
        <v>110</v>
      </c>
      <c r="D91" s="13">
        <v>95499000</v>
      </c>
      <c r="E91" s="13"/>
      <c r="F91" s="13">
        <v>95499000</v>
      </c>
      <c r="G91" s="434"/>
    </row>
    <row r="92" spans="1:7" x14ac:dyDescent="0.25">
      <c r="A92" s="2" t="s">
        <v>503</v>
      </c>
      <c r="B92" s="101" t="s">
        <v>504</v>
      </c>
      <c r="C92" s="52" t="s">
        <v>110</v>
      </c>
      <c r="D92" s="13">
        <f>39383000-823716-428144-21949907-10417702</f>
        <v>5763531</v>
      </c>
      <c r="E92" s="80" t="s">
        <v>404</v>
      </c>
      <c r="F92" s="13">
        <f>39383000-823716-428144-21949907-10417702-414450</f>
        <v>5349081</v>
      </c>
      <c r="G92" s="441" t="s">
        <v>404</v>
      </c>
    </row>
    <row r="93" spans="1:7" x14ac:dyDescent="0.25">
      <c r="B93" s="101" t="s">
        <v>505</v>
      </c>
      <c r="C93" s="52" t="s">
        <v>110</v>
      </c>
      <c r="D93" s="13">
        <v>3221260</v>
      </c>
      <c r="E93" s="80"/>
      <c r="F93" s="13">
        <v>3221260</v>
      </c>
      <c r="G93" s="441"/>
    </row>
    <row r="94" spans="1:7" x14ac:dyDescent="0.25">
      <c r="B94" s="101" t="s">
        <v>507</v>
      </c>
      <c r="C94" s="52" t="s">
        <v>110</v>
      </c>
      <c r="D94" s="13"/>
      <c r="E94" s="13">
        <v>32538000</v>
      </c>
      <c r="F94" s="13"/>
      <c r="G94" s="434">
        <v>32538000</v>
      </c>
    </row>
    <row r="95" spans="1:7" x14ac:dyDescent="0.25">
      <c r="B95" s="101" t="s">
        <v>508</v>
      </c>
      <c r="C95" s="52" t="s">
        <v>110</v>
      </c>
      <c r="D95" s="13">
        <f>ROUNDDOWN(+D73*0.27,0)</f>
        <v>17835993</v>
      </c>
      <c r="E95" s="13"/>
      <c r="F95" s="13">
        <f>ROUNDDOWN(+F73*0.27,0)</f>
        <v>17835993</v>
      </c>
      <c r="G95" s="434"/>
    </row>
    <row r="96" spans="1:7" x14ac:dyDescent="0.25">
      <c r="B96" s="101" t="s">
        <v>732</v>
      </c>
      <c r="C96" s="52" t="s">
        <v>110</v>
      </c>
      <c r="D96" s="13"/>
      <c r="E96" s="13">
        <f>1062836+2229794</f>
        <v>3292630</v>
      </c>
      <c r="F96" s="13"/>
      <c r="G96" s="434">
        <f>1062836+2229794</f>
        <v>3292630</v>
      </c>
    </row>
    <row r="97" spans="1:7" ht="31.5" x14ac:dyDescent="0.25">
      <c r="B97" s="101" t="s">
        <v>740</v>
      </c>
      <c r="C97" s="52" t="s">
        <v>110</v>
      </c>
      <c r="D97" s="13">
        <v>13343087</v>
      </c>
      <c r="E97" s="13"/>
      <c r="F97" s="13">
        <v>13343087</v>
      </c>
      <c r="G97" s="434"/>
    </row>
    <row r="98" spans="1:7" x14ac:dyDescent="0.25">
      <c r="B98" s="101" t="s">
        <v>778</v>
      </c>
      <c r="C98" s="52" t="s">
        <v>110</v>
      </c>
      <c r="D98" s="13">
        <v>8503937</v>
      </c>
      <c r="E98" s="13"/>
      <c r="F98" s="13">
        <f>ROUND(+F76*0.27,0)</f>
        <v>8503937</v>
      </c>
      <c r="G98" s="434"/>
    </row>
    <row r="99" spans="1:7" x14ac:dyDescent="0.25">
      <c r="B99" s="101" t="s">
        <v>779</v>
      </c>
      <c r="C99" s="52" t="s">
        <v>110</v>
      </c>
      <c r="E99" s="13">
        <f>ROUNDUP(+E77*0.27,0)+1</f>
        <v>52706008</v>
      </c>
      <c r="G99" s="434">
        <f>ROUNDUP(+G77*0.27,0)+1</f>
        <v>52706008</v>
      </c>
    </row>
    <row r="100" spans="1:7" s="84" customFormat="1" x14ac:dyDescent="0.25">
      <c r="A100" s="2" t="s">
        <v>509</v>
      </c>
      <c r="B100" s="102" t="s">
        <v>510</v>
      </c>
      <c r="C100" s="75" t="s">
        <v>110</v>
      </c>
      <c r="D100" s="92">
        <f>SUM(D83:D99)</f>
        <v>216513394</v>
      </c>
      <c r="E100" s="92">
        <f>SUM(E83:E99)</f>
        <v>88536638</v>
      </c>
      <c r="F100" s="92">
        <f>SUM(F83:F99)</f>
        <v>216098944</v>
      </c>
      <c r="G100" s="438">
        <f>SUM(G83:G99)</f>
        <v>88536638</v>
      </c>
    </row>
    <row r="101" spans="1:7" s="77" customFormat="1" x14ac:dyDescent="0.25">
      <c r="A101" s="2"/>
      <c r="B101" s="102" t="s">
        <v>511</v>
      </c>
      <c r="C101" s="75" t="s">
        <v>112</v>
      </c>
      <c r="D101" s="76">
        <f>+D100+D82+D80+D78</f>
        <v>1005846648</v>
      </c>
      <c r="E101" s="76">
        <f>+E100+E82+E80+E78</f>
        <v>416447991</v>
      </c>
      <c r="F101" s="76">
        <f>+F100+F82+F80+F78</f>
        <v>1002318891</v>
      </c>
      <c r="G101" s="440">
        <f>+G100+G82+G80+G78</f>
        <v>416447991</v>
      </c>
    </row>
    <row r="102" spans="1:7" s="77" customFormat="1" x14ac:dyDescent="0.25">
      <c r="A102" s="2"/>
      <c r="B102" s="421" t="s">
        <v>512</v>
      </c>
      <c r="C102" s="104" t="s">
        <v>513</v>
      </c>
      <c r="D102" s="92">
        <f>+D101+D59</f>
        <v>1933425119</v>
      </c>
      <c r="E102" s="92">
        <f>+E101+E59</f>
        <v>484181545</v>
      </c>
      <c r="F102" s="92">
        <f>+F101+F59</f>
        <v>1929897362</v>
      </c>
      <c r="G102" s="438">
        <f>+G101+G59</f>
        <v>492862445</v>
      </c>
    </row>
    <row r="103" spans="1:7" x14ac:dyDescent="0.25">
      <c r="B103" s="422"/>
      <c r="C103" s="105"/>
      <c r="D103" s="93"/>
      <c r="E103" s="93"/>
      <c r="F103" s="93"/>
      <c r="G103" s="439"/>
    </row>
    <row r="104" spans="1:7" x14ac:dyDescent="0.25">
      <c r="A104" s="290" t="s">
        <v>757</v>
      </c>
      <c r="B104" s="423"/>
      <c r="C104" s="294" t="s">
        <v>758</v>
      </c>
      <c r="D104" s="295"/>
      <c r="E104" s="295"/>
      <c r="F104" s="291"/>
      <c r="G104" s="455"/>
    </row>
    <row r="105" spans="1:7" x14ac:dyDescent="0.25">
      <c r="B105" s="296" t="s">
        <v>760</v>
      </c>
      <c r="C105" s="297" t="s">
        <v>759</v>
      </c>
      <c r="D105" s="298">
        <f>+D104</f>
        <v>0</v>
      </c>
      <c r="E105" s="298">
        <f>+E104</f>
        <v>0</v>
      </c>
      <c r="F105" s="291"/>
      <c r="G105" s="456">
        <f>+G104</f>
        <v>0</v>
      </c>
    </row>
    <row r="106" spans="1:7" hidden="1" x14ac:dyDescent="0.25">
      <c r="B106" s="424"/>
      <c r="C106" s="294"/>
      <c r="D106" s="295"/>
      <c r="E106" s="295"/>
      <c r="F106" s="291"/>
      <c r="G106" s="93"/>
    </row>
    <row r="107" spans="1:7" hidden="1" x14ac:dyDescent="0.25">
      <c r="B107" s="425"/>
      <c r="C107" s="292"/>
      <c r="D107" s="293"/>
      <c r="E107" s="293"/>
      <c r="F107" s="93"/>
      <c r="G107" s="93"/>
    </row>
    <row r="108" spans="1:7" hidden="1" x14ac:dyDescent="0.25">
      <c r="B108" s="422"/>
      <c r="C108" s="105"/>
      <c r="D108" s="93"/>
      <c r="E108" s="93"/>
      <c r="F108" s="93"/>
      <c r="G108" s="93"/>
    </row>
    <row r="109" spans="1:7" x14ac:dyDescent="0.25">
      <c r="B109" s="422"/>
      <c r="C109" s="105"/>
      <c r="D109" s="93"/>
      <c r="E109" s="93"/>
      <c r="F109" s="93"/>
      <c r="G109" s="93"/>
    </row>
    <row r="110" spans="1:7" x14ac:dyDescent="0.25">
      <c r="B110" s="422"/>
      <c r="C110" s="105"/>
      <c r="D110" s="93"/>
      <c r="E110" s="93"/>
      <c r="F110" s="93"/>
      <c r="G110" s="93"/>
    </row>
    <row r="111" spans="1:7" x14ac:dyDescent="0.25">
      <c r="B111" s="422"/>
      <c r="C111" s="105"/>
      <c r="D111" s="93"/>
      <c r="E111" s="93"/>
      <c r="F111" s="93"/>
      <c r="G111" s="93"/>
    </row>
    <row r="113" spans="3:6" x14ac:dyDescent="0.25">
      <c r="C113" s="70" t="s">
        <v>783</v>
      </c>
      <c r="D113" s="3">
        <f>+E99+D55+D97+E96+D95+E94+D93+D92+D91+E77+D34+E75+D74+D73+E71+D70+D69+D68+D57+E56+E54+E52+D50+E49+D48+D36+E35+E33+E31+D30+E29+E19+D18</f>
        <v>1910909724</v>
      </c>
      <c r="F113" s="3">
        <f>+G99+F55+F97+G96+F95+G94+F93+F92+F91+G77+F34+G75+F74+F73+G71+F70+F69+F68+F57+G56+G54+G52+F50+G49+F48+F36+G35+G33+G31+F30+G29+G19+F18</f>
        <v>1907381967</v>
      </c>
    </row>
    <row r="114" spans="3:6" x14ac:dyDescent="0.25">
      <c r="C114" s="70" t="s">
        <v>784</v>
      </c>
      <c r="D114" s="3">
        <f>+'19 EU projektek'!F41+'19 EU projektek'!F46</f>
        <v>1920879754</v>
      </c>
      <c r="F114" s="3">
        <f>+'19 EU projektek'!H41+'19 EU projektek'!H46</f>
        <v>476256545</v>
      </c>
    </row>
    <row r="115" spans="3:6" x14ac:dyDescent="0.25">
      <c r="D115" s="3">
        <f>+D113-D114</f>
        <v>-9970030</v>
      </c>
      <c r="F115" s="3">
        <f>+F113-F114</f>
        <v>1431125422</v>
      </c>
    </row>
  </sheetData>
  <sheetProtection selectLockedCells="1" selectUnlockedCells="1"/>
  <mergeCells count="2">
    <mergeCell ref="D7:E7"/>
    <mergeCell ref="F7:G7"/>
  </mergeCells>
  <phoneticPr fontId="70" type="noConversion"/>
  <printOptions horizontalCentered="1"/>
  <pageMargins left="0.70866141732283472" right="0.47244094488188981" top="0.51181102362204722" bottom="0.62992125984251968" header="0.51181102362204722" footer="0.31496062992125984"/>
  <pageSetup paperSize="9" scale="61" firstPageNumber="0" orientation="portrait" horizontalDpi="300" verticalDpi="300" r:id="rId1"/>
  <headerFooter alignWithMargins="0">
    <oddFooter>&amp;R&amp;P</oddFooter>
  </headerFooter>
  <rowBreaks count="1" manualBreakCount="1">
    <brk id="59" min="1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0" zoomScaleSheetLayoutView="80" workbookViewId="0">
      <selection activeCell="I1" sqref="I1"/>
    </sheetView>
  </sheetViews>
  <sheetFormatPr defaultRowHeight="15" x14ac:dyDescent="0.25"/>
  <cols>
    <col min="1" max="1" width="10.5703125" style="106" customWidth="1"/>
    <col min="2" max="2" width="65.28515625" style="106" customWidth="1"/>
    <col min="3" max="3" width="7.42578125" style="106" customWidth="1"/>
    <col min="4" max="4" width="13.140625" style="106" customWidth="1"/>
    <col min="5" max="5" width="11.85546875" style="106" customWidth="1"/>
    <col min="6" max="6" width="12.42578125" style="106" customWidth="1"/>
    <col min="7" max="7" width="12" style="106" customWidth="1"/>
    <col min="8" max="8" width="11" style="106" customWidth="1"/>
    <col min="9" max="9" width="14.85546875" style="106" customWidth="1"/>
    <col min="10" max="10" width="11.7109375" style="106" customWidth="1"/>
    <col min="11" max="16384" width="9.140625" style="106"/>
  </cols>
  <sheetData>
    <row r="1" spans="1:10" ht="18.75" x14ac:dyDescent="0.25">
      <c r="I1" s="4" t="s">
        <v>905</v>
      </c>
    </row>
    <row r="2" spans="1:10" ht="15.75" x14ac:dyDescent="0.25">
      <c r="I2" s="5" t="str">
        <f>+'5 Beruh kiad'!G2</f>
        <v>a 2/2020.(II.27. ) önkormányzati rendelethez</v>
      </c>
    </row>
    <row r="3" spans="1:10" x14ac:dyDescent="0.25">
      <c r="F3" s="107"/>
      <c r="I3" s="107"/>
    </row>
    <row r="4" spans="1:10" x14ac:dyDescent="0.25">
      <c r="F4" s="107"/>
      <c r="I4" s="107"/>
    </row>
    <row r="5" spans="1:10" ht="24" customHeight="1" x14ac:dyDescent="0.3">
      <c r="B5" s="577" t="s">
        <v>767</v>
      </c>
      <c r="C5" s="577"/>
    </row>
    <row r="6" spans="1:10" ht="18.75" x14ac:dyDescent="0.3">
      <c r="B6" s="1"/>
      <c r="C6" s="108"/>
      <c r="D6" s="108"/>
      <c r="E6" s="108"/>
      <c r="F6" s="108"/>
      <c r="G6" s="108"/>
      <c r="H6" s="108"/>
      <c r="I6" s="108"/>
    </row>
    <row r="7" spans="1:10" ht="16.5" customHeight="1" x14ac:dyDescent="0.35">
      <c r="B7" s="7" t="s">
        <v>721</v>
      </c>
      <c r="C7" s="109"/>
      <c r="D7" s="109"/>
      <c r="E7" s="109"/>
      <c r="F7" s="109"/>
      <c r="G7" s="109"/>
      <c r="H7" s="109"/>
      <c r="I7" s="109"/>
    </row>
    <row r="8" spans="1:10" ht="19.5" x14ac:dyDescent="0.35">
      <c r="B8" s="110"/>
    </row>
    <row r="9" spans="1:10" ht="15.75" customHeight="1" x14ac:dyDescent="0.25">
      <c r="D9" s="585" t="s">
        <v>6</v>
      </c>
      <c r="E9" s="585"/>
      <c r="F9" s="585"/>
      <c r="G9" s="583" t="s">
        <v>7</v>
      </c>
      <c r="H9" s="583"/>
      <c r="I9" s="583"/>
    </row>
    <row r="10" spans="1:10" s="11" customFormat="1" ht="52.5" customHeight="1" x14ac:dyDescent="0.25">
      <c r="A10" s="2" t="s">
        <v>325</v>
      </c>
      <c r="B10" s="8" t="s">
        <v>514</v>
      </c>
      <c r="C10" s="311" t="s">
        <v>33</v>
      </c>
      <c r="D10" s="382" t="s">
        <v>9</v>
      </c>
      <c r="E10" s="382" t="s">
        <v>10</v>
      </c>
      <c r="F10" s="348" t="s">
        <v>515</v>
      </c>
      <c r="G10" s="377" t="s">
        <v>9</v>
      </c>
      <c r="H10" s="111" t="s">
        <v>10</v>
      </c>
      <c r="I10" s="35" t="s">
        <v>515</v>
      </c>
    </row>
    <row r="11" spans="1:10" ht="15.75" x14ac:dyDescent="0.25">
      <c r="A11" s="2" t="s">
        <v>410</v>
      </c>
      <c r="B11" s="112"/>
      <c r="C11" s="269"/>
      <c r="D11" s="383"/>
      <c r="E11" s="383"/>
      <c r="F11" s="384"/>
      <c r="G11" s="378"/>
      <c r="H11" s="114"/>
      <c r="I11" s="115"/>
    </row>
    <row r="12" spans="1:10" ht="15.75" x14ac:dyDescent="0.25">
      <c r="A12" s="106" t="s">
        <v>516</v>
      </c>
      <c r="B12" s="85" t="s">
        <v>517</v>
      </c>
      <c r="C12" s="373"/>
      <c r="D12" s="259">
        <f>20000000</f>
        <v>20000000</v>
      </c>
      <c r="E12" s="259">
        <v>0</v>
      </c>
      <c r="F12" s="260">
        <f>SUM(D12:E12)</f>
        <v>20000000</v>
      </c>
      <c r="G12" s="259">
        <f>20000000-8680900-1880000</f>
        <v>9439100</v>
      </c>
      <c r="H12" s="13">
        <v>0</v>
      </c>
      <c r="I12" s="14">
        <f>SUM(G12:H12)</f>
        <v>9439100</v>
      </c>
      <c r="J12" s="242">
        <f>+F12-I12</f>
        <v>10560900</v>
      </c>
    </row>
    <row r="13" spans="1:10" ht="15.75" x14ac:dyDescent="0.25">
      <c r="B13" s="85" t="s">
        <v>518</v>
      </c>
      <c r="C13" s="374"/>
      <c r="D13" s="259">
        <v>0</v>
      </c>
      <c r="E13" s="259">
        <v>0</v>
      </c>
      <c r="F13" s="260">
        <f>SUM(D13:E13)</f>
        <v>0</v>
      </c>
      <c r="G13" s="259">
        <v>0</v>
      </c>
      <c r="H13" s="13">
        <v>0</v>
      </c>
      <c r="I13" s="14">
        <f>SUM(G13:H13)</f>
        <v>0</v>
      </c>
    </row>
    <row r="14" spans="1:10" s="116" customFormat="1" ht="15.75" x14ac:dyDescent="0.25">
      <c r="A14" s="106"/>
      <c r="B14" s="102" t="s">
        <v>519</v>
      </c>
      <c r="C14" s="375" t="s">
        <v>81</v>
      </c>
      <c r="D14" s="262">
        <f>+D12+D13</f>
        <v>20000000</v>
      </c>
      <c r="E14" s="262">
        <f>+E12+E13</f>
        <v>0</v>
      </c>
      <c r="F14" s="262">
        <f>SUM(D14:E14)</f>
        <v>20000000</v>
      </c>
      <c r="G14" s="262">
        <f>+G12+G13</f>
        <v>9439100</v>
      </c>
      <c r="H14" s="76">
        <f>+H12+H13</f>
        <v>0</v>
      </c>
      <c r="I14" s="76">
        <f>SUM(G14:H14)</f>
        <v>9439100</v>
      </c>
    </row>
    <row r="15" spans="1:10" ht="15.75" x14ac:dyDescent="0.25">
      <c r="B15" s="12"/>
      <c r="C15" s="374"/>
      <c r="D15" s="259"/>
      <c r="E15" s="259"/>
      <c r="F15" s="260"/>
      <c r="G15" s="259"/>
      <c r="H15" s="13"/>
      <c r="I15" s="14"/>
    </row>
    <row r="16" spans="1:10" ht="15.75" x14ac:dyDescent="0.25">
      <c r="A16" s="106" t="s">
        <v>520</v>
      </c>
      <c r="B16" s="117" t="s">
        <v>521</v>
      </c>
      <c r="C16" s="373"/>
      <c r="D16" s="259">
        <v>200000</v>
      </c>
      <c r="E16" s="259"/>
      <c r="F16" s="260">
        <f>SUM(D16:E16)</f>
        <v>200000</v>
      </c>
      <c r="G16" s="259">
        <v>200000</v>
      </c>
      <c r="H16" s="13"/>
      <c r="I16" s="14">
        <f>SUM(G16:H16)</f>
        <v>200000</v>
      </c>
    </row>
    <row r="17" spans="1:10" ht="15.75" x14ac:dyDescent="0.25">
      <c r="A17" s="106" t="s">
        <v>522</v>
      </c>
      <c r="B17" s="117" t="s">
        <v>523</v>
      </c>
      <c r="C17" s="373"/>
      <c r="D17" s="259">
        <v>200000</v>
      </c>
      <c r="E17" s="259"/>
      <c r="F17" s="260">
        <f>SUM(D17:E17)</f>
        <v>200000</v>
      </c>
      <c r="G17" s="259">
        <v>200000</v>
      </c>
      <c r="H17" s="13"/>
      <c r="I17" s="14">
        <f>SUM(G17:H17)</f>
        <v>200000</v>
      </c>
    </row>
    <row r="18" spans="1:10" ht="15.75" x14ac:dyDescent="0.25">
      <c r="A18" s="106" t="s">
        <v>524</v>
      </c>
      <c r="B18" s="117" t="s">
        <v>770</v>
      </c>
      <c r="C18" s="373"/>
      <c r="D18" s="259">
        <v>200000</v>
      </c>
      <c r="E18" s="259"/>
      <c r="F18" s="260">
        <f>SUM(D18:E18)</f>
        <v>200000</v>
      </c>
      <c r="G18" s="259">
        <v>200000</v>
      </c>
      <c r="H18" s="13"/>
      <c r="I18" s="14">
        <f>SUM(G18:H18)</f>
        <v>200000</v>
      </c>
    </row>
    <row r="19" spans="1:10" ht="15.75" x14ac:dyDescent="0.25">
      <c r="B19" s="117" t="s">
        <v>771</v>
      </c>
      <c r="C19" s="373"/>
      <c r="D19" s="259">
        <v>200000</v>
      </c>
      <c r="E19" s="259"/>
      <c r="F19" s="260">
        <f>SUM(D19:E19)</f>
        <v>200000</v>
      </c>
      <c r="G19" s="259">
        <v>200000</v>
      </c>
      <c r="H19" s="13"/>
      <c r="I19" s="14">
        <f>SUM(G19:H19)</f>
        <v>200000</v>
      </c>
    </row>
    <row r="20" spans="1:10" ht="15.75" x14ac:dyDescent="0.25">
      <c r="A20" s="106" t="s">
        <v>525</v>
      </c>
      <c r="B20" s="117" t="s">
        <v>526</v>
      </c>
      <c r="C20" s="374"/>
      <c r="D20" s="259">
        <v>4000000</v>
      </c>
      <c r="E20" s="259"/>
      <c r="F20" s="260">
        <f>SUM(D20:E20)</f>
        <v>4000000</v>
      </c>
      <c r="G20" s="259">
        <f>4000000-170000-41400-300000-44400-100000-84900</f>
        <v>3259300</v>
      </c>
      <c r="H20" s="13"/>
      <c r="I20" s="14">
        <f>SUM(G20:H20)</f>
        <v>3259300</v>
      </c>
    </row>
    <row r="21" spans="1:10" s="116" customFormat="1" ht="15.75" x14ac:dyDescent="0.25">
      <c r="A21" s="106"/>
      <c r="B21" s="118" t="s">
        <v>527</v>
      </c>
      <c r="C21" s="376" t="s">
        <v>81</v>
      </c>
      <c r="D21" s="385">
        <f t="shared" ref="D21:I21" si="0">SUM(D16:D20)</f>
        <v>4800000</v>
      </c>
      <c r="E21" s="385">
        <f t="shared" si="0"/>
        <v>0</v>
      </c>
      <c r="F21" s="385">
        <f t="shared" si="0"/>
        <v>4800000</v>
      </c>
      <c r="G21" s="379">
        <f>SUM(G16:G20)</f>
        <v>4059300</v>
      </c>
      <c r="H21" s="92">
        <f>SUM(H16:H20)</f>
        <v>0</v>
      </c>
      <c r="I21" s="92">
        <f t="shared" si="0"/>
        <v>4059300</v>
      </c>
      <c r="J21" s="242">
        <f>+F21-I21</f>
        <v>740700</v>
      </c>
    </row>
    <row r="22" spans="1:10" ht="15.75" x14ac:dyDescent="0.25">
      <c r="B22" s="82"/>
      <c r="C22" s="374"/>
      <c r="D22" s="259"/>
      <c r="E22" s="259"/>
      <c r="F22" s="260"/>
      <c r="G22" s="365"/>
      <c r="H22" s="13"/>
      <c r="I22" s="14"/>
    </row>
    <row r="23" spans="1:10" ht="15.75" x14ac:dyDescent="0.25">
      <c r="B23" s="82"/>
      <c r="C23" s="374"/>
      <c r="D23" s="259"/>
      <c r="E23" s="259">
        <v>0</v>
      </c>
      <c r="F23" s="260"/>
      <c r="G23" s="365"/>
      <c r="H23" s="13">
        <v>0</v>
      </c>
      <c r="I23" s="14">
        <f>SUM(G23:H23)</f>
        <v>0</v>
      </c>
    </row>
    <row r="24" spans="1:10" s="116" customFormat="1" ht="15.75" x14ac:dyDescent="0.25">
      <c r="A24" s="106"/>
      <c r="B24" s="118" t="s">
        <v>528</v>
      </c>
      <c r="C24" s="376" t="s">
        <v>81</v>
      </c>
      <c r="D24" s="385">
        <f t="shared" ref="D24:I24" si="1">SUM(D23:D23)</f>
        <v>0</v>
      </c>
      <c r="E24" s="385">
        <f t="shared" si="1"/>
        <v>0</v>
      </c>
      <c r="F24" s="385">
        <f t="shared" si="1"/>
        <v>0</v>
      </c>
      <c r="G24" s="379">
        <f t="shared" si="1"/>
        <v>0</v>
      </c>
      <c r="H24" s="92">
        <f t="shared" si="1"/>
        <v>0</v>
      </c>
      <c r="I24" s="92">
        <f t="shared" si="1"/>
        <v>0</v>
      </c>
    </row>
    <row r="25" spans="1:10" s="116" customFormat="1" ht="15.75" x14ac:dyDescent="0.25">
      <c r="A25" s="106"/>
      <c r="B25" s="102" t="s">
        <v>529</v>
      </c>
      <c r="C25" s="376" t="s">
        <v>81</v>
      </c>
      <c r="D25" s="262">
        <f t="shared" ref="D25:I25" si="2">+D21+D24</f>
        <v>4800000</v>
      </c>
      <c r="E25" s="262">
        <f t="shared" si="2"/>
        <v>0</v>
      </c>
      <c r="F25" s="262">
        <f t="shared" si="2"/>
        <v>4800000</v>
      </c>
      <c r="G25" s="346">
        <f t="shared" si="2"/>
        <v>4059300</v>
      </c>
      <c r="H25" s="76">
        <f t="shared" si="2"/>
        <v>0</v>
      </c>
      <c r="I25" s="76">
        <f t="shared" si="2"/>
        <v>4059300</v>
      </c>
    </row>
    <row r="26" spans="1:10" ht="15.75" x14ac:dyDescent="0.25">
      <c r="B26" s="12"/>
      <c r="C26" s="374"/>
      <c r="D26" s="386"/>
      <c r="E26" s="386"/>
      <c r="F26" s="386"/>
      <c r="G26" s="380"/>
      <c r="H26" s="12"/>
      <c r="I26" s="12"/>
    </row>
    <row r="27" spans="1:10" s="121" customFormat="1" ht="15.75" x14ac:dyDescent="0.25">
      <c r="A27" s="106" t="s">
        <v>530</v>
      </c>
      <c r="B27" s="119" t="s">
        <v>531</v>
      </c>
      <c r="C27" s="375" t="s">
        <v>81</v>
      </c>
      <c r="D27" s="387">
        <f t="shared" ref="D27:I27" si="3">+D25+D14</f>
        <v>24800000</v>
      </c>
      <c r="E27" s="387">
        <f t="shared" si="3"/>
        <v>0</v>
      </c>
      <c r="F27" s="387">
        <f t="shared" si="3"/>
        <v>24800000</v>
      </c>
      <c r="G27" s="381">
        <f t="shared" si="3"/>
        <v>13498400</v>
      </c>
      <c r="H27" s="120">
        <f t="shared" si="3"/>
        <v>0</v>
      </c>
      <c r="I27" s="120">
        <f t="shared" si="3"/>
        <v>13498400</v>
      </c>
      <c r="J27" s="331">
        <f>+G27+H27</f>
        <v>13498400</v>
      </c>
    </row>
  </sheetData>
  <sheetProtection selectLockedCells="1" selectUnlockedCells="1"/>
  <mergeCells count="3">
    <mergeCell ref="B5:C5"/>
    <mergeCell ref="D9:F9"/>
    <mergeCell ref="G9:I9"/>
  </mergeCells>
  <pageMargins left="0.70833333333333337" right="0.70833333333333337" top="0.74791666666666667" bottom="0.74861111111111112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Y259"/>
  <sheetViews>
    <sheetView view="pageBreakPreview" zoomScale="82" zoomScaleSheetLayoutView="82" workbookViewId="0">
      <pane xSplit="3" ySplit="6" topLeftCell="D7" activePane="bottomRight" state="frozen"/>
      <selection activeCell="Y3" sqref="Y3"/>
      <selection pane="topRight" activeCell="Y3" sqref="Y3"/>
      <selection pane="bottomLeft" activeCell="Y3" sqref="Y3"/>
      <selection pane="bottomRight" activeCell="F3" sqref="F3"/>
    </sheetView>
  </sheetViews>
  <sheetFormatPr defaultColWidth="11.5703125" defaultRowHeight="15" x14ac:dyDescent="0.25"/>
  <cols>
    <col min="1" max="1" width="9.140625" style="122" customWidth="1"/>
    <col min="2" max="2" width="54" style="122" customWidth="1"/>
    <col min="3" max="3" width="8.5703125" style="122" customWidth="1"/>
    <col min="4" max="4" width="13.42578125" style="122" customWidth="1"/>
    <col min="5" max="5" width="12.5703125" style="122" customWidth="1"/>
    <col min="6" max="7" width="13.42578125" style="122" customWidth="1"/>
    <col min="8" max="8" width="12.85546875" style="122" customWidth="1"/>
    <col min="9" max="9" width="12.7109375" style="122" customWidth="1"/>
    <col min="10" max="10" width="12.42578125" style="122" customWidth="1"/>
    <col min="11" max="11" width="12.5703125" style="122" customWidth="1"/>
    <col min="12" max="15" width="11.85546875" style="122" customWidth="1"/>
    <col min="16" max="16" width="10" style="122" customWidth="1"/>
    <col min="17" max="29" width="11.85546875" style="122" customWidth="1"/>
    <col min="30" max="30" width="10.85546875" style="122" customWidth="1"/>
    <col min="31" max="31" width="11.140625" style="122" customWidth="1"/>
    <col min="32" max="32" width="10" style="122" customWidth="1"/>
    <col min="33" max="33" width="10.28515625" style="122" customWidth="1"/>
    <col min="34" max="34" width="11.28515625" style="122" customWidth="1"/>
    <col min="35" max="51" width="11.85546875" style="122" customWidth="1"/>
    <col min="52" max="52" width="13.5703125" style="122" bestFit="1" customWidth="1"/>
    <col min="53" max="207" width="9.140625" style="122" customWidth="1"/>
  </cols>
  <sheetData>
    <row r="1" spans="2:52" s="123" customFormat="1" ht="18.75" x14ac:dyDescent="0.25">
      <c r="I1" s="124" t="s">
        <v>906</v>
      </c>
      <c r="O1" s="125" t="str">
        <f>+I1</f>
        <v>7.melléklet (1)</v>
      </c>
      <c r="P1" s="125"/>
      <c r="W1" s="124" t="str">
        <f>+I1</f>
        <v>7.melléklet (1)</v>
      </c>
      <c r="X1" s="125"/>
      <c r="AE1" s="125" t="str">
        <f>+W1</f>
        <v>7.melléklet (1)</v>
      </c>
      <c r="AF1" s="273"/>
      <c r="AG1" s="125"/>
      <c r="AM1" s="125" t="str">
        <f>+AE1</f>
        <v>7.melléklet (1)</v>
      </c>
      <c r="AN1" s="273"/>
      <c r="AQ1" s="125"/>
      <c r="AR1" s="125"/>
      <c r="AS1" s="124" t="str">
        <f>+AM1</f>
        <v>7.melléklet (1)</v>
      </c>
      <c r="AX1" s="273"/>
      <c r="AY1" s="125" t="str">
        <f>+AM1</f>
        <v>7.melléklet (1)</v>
      </c>
    </row>
    <row r="2" spans="2:52" ht="15.75" x14ac:dyDescent="0.25">
      <c r="I2" s="5" t="str">
        <f>+'6 Tart'!I2</f>
        <v>a 2/2020.(II.27. ) önkormányzati rendelethez</v>
      </c>
      <c r="O2" s="125" t="str">
        <f>+I2</f>
        <v>a 2/2020.(II.27. ) önkormányzati rendelethez</v>
      </c>
      <c r="P2" s="5"/>
      <c r="W2" s="124" t="str">
        <f>+I2</f>
        <v>a 2/2020.(II.27. ) önkormányzati rendelethez</v>
      </c>
      <c r="X2" s="5"/>
      <c r="AE2" s="125" t="str">
        <f>+W2</f>
        <v>a 2/2020.(II.27. ) önkormányzati rendelethez</v>
      </c>
      <c r="AF2" s="5"/>
      <c r="AG2" s="125"/>
      <c r="AH2" s="126"/>
      <c r="AI2" s="126"/>
      <c r="AJ2" s="126"/>
      <c r="AK2" s="126"/>
      <c r="AM2" s="125" t="str">
        <f>+AE2</f>
        <v>a 2/2020.(II.27. ) önkormányzati rendelethez</v>
      </c>
      <c r="AN2" s="5"/>
      <c r="AQ2" s="5"/>
      <c r="AR2" s="125"/>
      <c r="AS2" s="124" t="str">
        <f>+AM2</f>
        <v>a 2/2020.(II.27. ) önkormányzati rendelethez</v>
      </c>
      <c r="AX2" s="125"/>
      <c r="AY2" s="125" t="str">
        <f>+AM2</f>
        <v>a 2/2020.(II.27. ) önkormányzati rendelethez</v>
      </c>
    </row>
    <row r="3" spans="2:52" ht="18.75" x14ac:dyDescent="0.3">
      <c r="B3" s="577" t="s">
        <v>767</v>
      </c>
      <c r="C3" s="577"/>
      <c r="J3" s="127"/>
      <c r="K3" s="12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</row>
    <row r="4" spans="2:52" s="128" customFormat="1" ht="19.5" x14ac:dyDescent="0.2">
      <c r="B4" s="129" t="s">
        <v>717</v>
      </c>
      <c r="J4" s="595" t="s">
        <v>532</v>
      </c>
      <c r="K4" s="595"/>
      <c r="L4" s="595" t="s">
        <v>532</v>
      </c>
      <c r="M4" s="595"/>
      <c r="N4" s="595" t="s">
        <v>532</v>
      </c>
      <c r="O4" s="595"/>
      <c r="P4" s="595" t="s">
        <v>532</v>
      </c>
      <c r="Q4" s="595"/>
      <c r="R4" s="595" t="s">
        <v>532</v>
      </c>
      <c r="S4" s="595"/>
      <c r="T4" s="595" t="s">
        <v>532</v>
      </c>
      <c r="U4" s="595"/>
      <c r="V4" s="595" t="s">
        <v>532</v>
      </c>
      <c r="W4" s="595"/>
      <c r="X4" s="595" t="s">
        <v>532</v>
      </c>
      <c r="Y4" s="595"/>
      <c r="Z4" s="595" t="s">
        <v>532</v>
      </c>
      <c r="AA4" s="595"/>
      <c r="AB4" s="595" t="s">
        <v>532</v>
      </c>
      <c r="AC4" s="595"/>
      <c r="AD4" s="595" t="s">
        <v>532</v>
      </c>
      <c r="AE4" s="595"/>
      <c r="AF4" s="595" t="s">
        <v>532</v>
      </c>
      <c r="AG4" s="595"/>
      <c r="AH4" s="595" t="s">
        <v>532</v>
      </c>
      <c r="AI4" s="595"/>
      <c r="AJ4" s="595" t="s">
        <v>532</v>
      </c>
      <c r="AK4" s="595"/>
      <c r="AL4" s="596" t="s">
        <v>533</v>
      </c>
      <c r="AM4" s="595"/>
      <c r="AN4" s="596" t="s">
        <v>533</v>
      </c>
      <c r="AO4" s="595"/>
      <c r="AP4" s="596" t="s">
        <v>533</v>
      </c>
      <c r="AQ4" s="595"/>
      <c r="AR4" s="596" t="s">
        <v>533</v>
      </c>
      <c r="AS4" s="595"/>
      <c r="AT4" s="596" t="s">
        <v>533</v>
      </c>
      <c r="AU4" s="595"/>
      <c r="AV4" s="596" t="s">
        <v>533</v>
      </c>
      <c r="AW4" s="595"/>
      <c r="AX4" s="597" t="s">
        <v>533</v>
      </c>
      <c r="AY4" s="597"/>
    </row>
    <row r="5" spans="2:52" s="131" customFormat="1" ht="26.25" customHeight="1" x14ac:dyDescent="0.25">
      <c r="D5" s="586" t="s">
        <v>6</v>
      </c>
      <c r="E5" s="586"/>
      <c r="F5" s="586"/>
      <c r="G5" s="587" t="s">
        <v>7</v>
      </c>
      <c r="H5" s="588"/>
      <c r="I5" s="588"/>
      <c r="J5" s="113" t="s">
        <v>535</v>
      </c>
      <c r="K5" s="113" t="s">
        <v>536</v>
      </c>
      <c r="L5" s="113" t="s">
        <v>535</v>
      </c>
      <c r="M5" s="113" t="s">
        <v>536</v>
      </c>
      <c r="N5" s="113" t="s">
        <v>535</v>
      </c>
      <c r="O5" s="113" t="s">
        <v>536</v>
      </c>
      <c r="P5" s="113" t="s">
        <v>535</v>
      </c>
      <c r="Q5" s="113" t="s">
        <v>536</v>
      </c>
      <c r="R5" s="113" t="s">
        <v>535</v>
      </c>
      <c r="S5" s="113" t="s">
        <v>536</v>
      </c>
      <c r="T5" s="113" t="s">
        <v>535</v>
      </c>
      <c r="U5" s="113" t="s">
        <v>536</v>
      </c>
      <c r="V5" s="113" t="s">
        <v>535</v>
      </c>
      <c r="W5" s="113" t="s">
        <v>536</v>
      </c>
      <c r="X5" s="113" t="s">
        <v>535</v>
      </c>
      <c r="Y5" s="113" t="s">
        <v>536</v>
      </c>
      <c r="Z5" s="113" t="s">
        <v>535</v>
      </c>
      <c r="AA5" s="113" t="s">
        <v>536</v>
      </c>
      <c r="AB5" s="113" t="s">
        <v>535</v>
      </c>
      <c r="AC5" s="113" t="s">
        <v>536</v>
      </c>
      <c r="AD5" s="113" t="s">
        <v>535</v>
      </c>
      <c r="AE5" s="113" t="s">
        <v>536</v>
      </c>
      <c r="AF5" s="113" t="s">
        <v>535</v>
      </c>
      <c r="AG5" s="113" t="s">
        <v>536</v>
      </c>
      <c r="AH5" s="113" t="s">
        <v>535</v>
      </c>
      <c r="AI5" s="113" t="s">
        <v>536</v>
      </c>
      <c r="AJ5" s="113" t="s">
        <v>535</v>
      </c>
      <c r="AK5" s="113" t="s">
        <v>536</v>
      </c>
      <c r="AL5" s="113" t="s">
        <v>535</v>
      </c>
      <c r="AM5" s="113" t="s">
        <v>536</v>
      </c>
      <c r="AN5" s="113" t="s">
        <v>535</v>
      </c>
      <c r="AO5" s="113" t="s">
        <v>536</v>
      </c>
      <c r="AP5" s="113" t="s">
        <v>535</v>
      </c>
      <c r="AQ5" s="113" t="s">
        <v>536</v>
      </c>
      <c r="AR5" s="113" t="s">
        <v>535</v>
      </c>
      <c r="AS5" s="113" t="s">
        <v>536</v>
      </c>
      <c r="AT5" s="113" t="s">
        <v>535</v>
      </c>
      <c r="AU5" s="113" t="s">
        <v>536</v>
      </c>
      <c r="AV5" s="113" t="s">
        <v>535</v>
      </c>
      <c r="AW5" s="113" t="s">
        <v>536</v>
      </c>
      <c r="AX5" s="410" t="s">
        <v>535</v>
      </c>
      <c r="AY5" s="410" t="s">
        <v>536</v>
      </c>
    </row>
    <row r="6" spans="2:52" s="131" customFormat="1" ht="77.25" customHeight="1" x14ac:dyDescent="0.25">
      <c r="B6" s="112" t="s">
        <v>8</v>
      </c>
      <c r="C6" s="113" t="s">
        <v>33</v>
      </c>
      <c r="D6" s="409" t="s">
        <v>537</v>
      </c>
      <c r="E6" s="409" t="s">
        <v>538</v>
      </c>
      <c r="F6" s="410" t="s">
        <v>539</v>
      </c>
      <c r="G6" s="472" t="s">
        <v>537</v>
      </c>
      <c r="H6" s="472" t="s">
        <v>538</v>
      </c>
      <c r="I6" s="113" t="s">
        <v>539</v>
      </c>
      <c r="J6" s="589" t="s">
        <v>540</v>
      </c>
      <c r="K6" s="590"/>
      <c r="L6" s="589" t="s">
        <v>541</v>
      </c>
      <c r="M6" s="590"/>
      <c r="N6" s="589" t="s">
        <v>542</v>
      </c>
      <c r="O6" s="590"/>
      <c r="P6" s="589" t="s">
        <v>543</v>
      </c>
      <c r="Q6" s="590"/>
      <c r="R6" s="589" t="s">
        <v>544</v>
      </c>
      <c r="S6" s="590"/>
      <c r="T6" s="589" t="s">
        <v>545</v>
      </c>
      <c r="U6" s="590"/>
      <c r="V6" s="589" t="s">
        <v>546</v>
      </c>
      <c r="W6" s="590"/>
      <c r="X6" s="589" t="s">
        <v>547</v>
      </c>
      <c r="Y6" s="590"/>
      <c r="Z6" s="589" t="s">
        <v>548</v>
      </c>
      <c r="AA6" s="590"/>
      <c r="AB6" s="589" t="s">
        <v>549</v>
      </c>
      <c r="AC6" s="590"/>
      <c r="AD6" s="589" t="s">
        <v>550</v>
      </c>
      <c r="AE6" s="590"/>
      <c r="AF6" s="589" t="s">
        <v>551</v>
      </c>
      <c r="AG6" s="590"/>
      <c r="AH6" s="589" t="s">
        <v>552</v>
      </c>
      <c r="AI6" s="590"/>
      <c r="AJ6" s="589" t="s">
        <v>553</v>
      </c>
      <c r="AK6" s="590"/>
      <c r="AL6" s="589" t="s">
        <v>554</v>
      </c>
      <c r="AM6" s="590"/>
      <c r="AN6" s="589" t="s">
        <v>555</v>
      </c>
      <c r="AO6" s="590"/>
      <c r="AP6" s="589" t="s">
        <v>556</v>
      </c>
      <c r="AQ6" s="590"/>
      <c r="AR6" s="589" t="s">
        <v>557</v>
      </c>
      <c r="AS6" s="590"/>
      <c r="AT6" s="589" t="s">
        <v>558</v>
      </c>
      <c r="AU6" s="590"/>
      <c r="AV6" s="589" t="s">
        <v>559</v>
      </c>
      <c r="AW6" s="590"/>
      <c r="AX6" s="592" t="s">
        <v>560</v>
      </c>
      <c r="AY6" s="593"/>
    </row>
    <row r="7" spans="2:52" x14ac:dyDescent="0.25">
      <c r="B7" s="133" t="s">
        <v>34</v>
      </c>
      <c r="C7" s="134" t="s">
        <v>35</v>
      </c>
      <c r="D7" s="135">
        <f>+J7+L7+N7+P7+R7+T7+V7+X7+Z7+AB7+AD7+AF7+AH7+AJ7</f>
        <v>25293990</v>
      </c>
      <c r="E7" s="136">
        <f>+AL7+AN7+AP7+AT7+AV7+AX7+AR7</f>
        <v>0</v>
      </c>
      <c r="F7" s="345">
        <f>+D7+E7</f>
        <v>25293990</v>
      </c>
      <c r="G7" s="264">
        <f>+K7+M7+O7+Q7+S7+U7+W7+Y7+AA7+AC7+AE7+AG7+AI7+AK7</f>
        <v>3651000</v>
      </c>
      <c r="H7" s="264">
        <f>+AM7+AO7+AQ7+AU7+AW7+AY7+AS7</f>
        <v>0</v>
      </c>
      <c r="I7" s="471">
        <f>+G7+H7</f>
        <v>3651000</v>
      </c>
      <c r="J7" s="135">
        <f>25099740+194250</f>
        <v>25293990</v>
      </c>
      <c r="K7" s="135">
        <v>3651000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263"/>
    </row>
    <row r="8" spans="2:52" x14ac:dyDescent="0.25">
      <c r="B8" s="139" t="s">
        <v>36</v>
      </c>
      <c r="C8" s="134" t="s">
        <v>37</v>
      </c>
      <c r="D8" s="135">
        <f>+J8+L8+N8+P8+R8+T8+V8+X8+Z8+AB8+AD8+AF8+AH8+AJ8</f>
        <v>4007520</v>
      </c>
      <c r="E8" s="136">
        <f>+AL8+AN8+AP8+AT8+AV8+AX8+AR8</f>
        <v>0</v>
      </c>
      <c r="F8" s="345">
        <f>+D8+E8</f>
        <v>4007520</v>
      </c>
      <c r="G8" s="264">
        <f>+K8+M8+O8+Q8+S8+U8+W8+Y8+AA8+AC8+AE8+AG8+AI8+AK8</f>
        <v>30901510</v>
      </c>
      <c r="H8" s="264">
        <f>+AM8+AO8+AQ8+AU8+AW8+AY8+AS8</f>
        <v>0</v>
      </c>
      <c r="I8" s="471">
        <f>+G8+H8</f>
        <v>30901510</v>
      </c>
      <c r="J8" s="135">
        <v>4007520</v>
      </c>
      <c r="K8" s="135">
        <f>25099740+194250+4007520+1600000</f>
        <v>30901510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263"/>
    </row>
    <row r="9" spans="2:52" s="140" customFormat="1" ht="12.75" x14ac:dyDescent="0.2">
      <c r="B9" s="141" t="s">
        <v>38</v>
      </c>
      <c r="C9" s="142" t="s">
        <v>39</v>
      </c>
      <c r="D9" s="143">
        <f t="shared" ref="D9:I9" si="0">SUM(D7:D8)</f>
        <v>29301510</v>
      </c>
      <c r="E9" s="143">
        <f t="shared" si="0"/>
        <v>0</v>
      </c>
      <c r="F9" s="143">
        <f t="shared" si="0"/>
        <v>29301510</v>
      </c>
      <c r="G9" s="170">
        <f>SUM(G7:G8)</f>
        <v>34552510</v>
      </c>
      <c r="H9" s="170">
        <f>SUM(H7:H8)</f>
        <v>0</v>
      </c>
      <c r="I9" s="143">
        <f t="shared" si="0"/>
        <v>34552510</v>
      </c>
      <c r="J9" s="143">
        <f>SUM(J7:J8)</f>
        <v>29301510</v>
      </c>
      <c r="K9" s="143">
        <f t="shared" ref="K9:AY9" si="1">SUM(K7:K8)</f>
        <v>34552510</v>
      </c>
      <c r="L9" s="143">
        <f t="shared" si="1"/>
        <v>0</v>
      </c>
      <c r="M9" s="143">
        <f t="shared" si="1"/>
        <v>0</v>
      </c>
      <c r="N9" s="143">
        <f t="shared" si="1"/>
        <v>0</v>
      </c>
      <c r="O9" s="143">
        <f t="shared" si="1"/>
        <v>0</v>
      </c>
      <c r="P9" s="143">
        <f t="shared" si="1"/>
        <v>0</v>
      </c>
      <c r="Q9" s="143">
        <f t="shared" si="1"/>
        <v>0</v>
      </c>
      <c r="R9" s="143">
        <f t="shared" si="1"/>
        <v>0</v>
      </c>
      <c r="S9" s="143">
        <f t="shared" si="1"/>
        <v>0</v>
      </c>
      <c r="T9" s="143">
        <f t="shared" si="1"/>
        <v>0</v>
      </c>
      <c r="U9" s="143">
        <f t="shared" si="1"/>
        <v>0</v>
      </c>
      <c r="V9" s="143">
        <f t="shared" si="1"/>
        <v>0</v>
      </c>
      <c r="W9" s="143">
        <f t="shared" si="1"/>
        <v>0</v>
      </c>
      <c r="X9" s="143">
        <f t="shared" si="1"/>
        <v>0</v>
      </c>
      <c r="Y9" s="143">
        <f t="shared" si="1"/>
        <v>0</v>
      </c>
      <c r="Z9" s="143">
        <f t="shared" si="1"/>
        <v>0</v>
      </c>
      <c r="AA9" s="143">
        <f t="shared" si="1"/>
        <v>0</v>
      </c>
      <c r="AB9" s="143">
        <f t="shared" si="1"/>
        <v>0</v>
      </c>
      <c r="AC9" s="143">
        <f t="shared" si="1"/>
        <v>0</v>
      </c>
      <c r="AD9" s="143">
        <f t="shared" si="1"/>
        <v>0</v>
      </c>
      <c r="AE9" s="143">
        <f t="shared" si="1"/>
        <v>0</v>
      </c>
      <c r="AF9" s="143">
        <f t="shared" si="1"/>
        <v>0</v>
      </c>
      <c r="AG9" s="143">
        <f t="shared" si="1"/>
        <v>0</v>
      </c>
      <c r="AH9" s="143">
        <f t="shared" si="1"/>
        <v>0</v>
      </c>
      <c r="AI9" s="143">
        <f t="shared" si="1"/>
        <v>0</v>
      </c>
      <c r="AJ9" s="143">
        <f t="shared" si="1"/>
        <v>0</v>
      </c>
      <c r="AK9" s="143">
        <f t="shared" si="1"/>
        <v>0</v>
      </c>
      <c r="AL9" s="143">
        <f t="shared" si="1"/>
        <v>0</v>
      </c>
      <c r="AM9" s="143">
        <f t="shared" si="1"/>
        <v>0</v>
      </c>
      <c r="AN9" s="143">
        <f t="shared" si="1"/>
        <v>0</v>
      </c>
      <c r="AO9" s="143">
        <f t="shared" si="1"/>
        <v>0</v>
      </c>
      <c r="AP9" s="143">
        <f t="shared" si="1"/>
        <v>0</v>
      </c>
      <c r="AQ9" s="143">
        <f t="shared" si="1"/>
        <v>0</v>
      </c>
      <c r="AR9" s="143">
        <f t="shared" si="1"/>
        <v>0</v>
      </c>
      <c r="AS9" s="143">
        <f t="shared" si="1"/>
        <v>0</v>
      </c>
      <c r="AT9" s="143">
        <f t="shared" si="1"/>
        <v>0</v>
      </c>
      <c r="AU9" s="143">
        <f t="shared" si="1"/>
        <v>0</v>
      </c>
      <c r="AV9" s="143">
        <f t="shared" si="1"/>
        <v>0</v>
      </c>
      <c r="AW9" s="143">
        <f t="shared" si="1"/>
        <v>0</v>
      </c>
      <c r="AX9" s="143">
        <f t="shared" si="1"/>
        <v>0</v>
      </c>
      <c r="AY9" s="143">
        <f t="shared" si="1"/>
        <v>0</v>
      </c>
      <c r="AZ9" s="263"/>
    </row>
    <row r="10" spans="2:52" s="140" customFormat="1" ht="12.75" x14ac:dyDescent="0.2">
      <c r="B10" s="144" t="s">
        <v>561</v>
      </c>
      <c r="C10" s="142" t="s">
        <v>41</v>
      </c>
      <c r="D10" s="145">
        <f t="shared" ref="D10:D15" si="2">+J10+L10+N10+P10+R10+T10+V10+X10+Z10+AB10+AD10+AF10+AH10+AJ10</f>
        <v>7540986</v>
      </c>
      <c r="E10" s="146">
        <f t="shared" ref="E10:E15" si="3">+AL10+AN10+AP10+AT10+AV10+AX10+AR10</f>
        <v>0</v>
      </c>
      <c r="F10" s="143">
        <f t="shared" ref="F10:F15" si="4">+D10+E10</f>
        <v>7540986</v>
      </c>
      <c r="G10" s="465">
        <f t="shared" ref="G10:G15" si="5">+K10+M10+O10+Q10+S10+U10+W10+Y10+AA10+AC10+AE10+AG10+AI10+AK10</f>
        <v>7641543</v>
      </c>
      <c r="H10" s="289">
        <f t="shared" ref="H10:H15" si="6">+AM10+AO10+AQ10+AU10+AW10+AY10+AS10</f>
        <v>0</v>
      </c>
      <c r="I10" s="466">
        <f t="shared" ref="I10:I15" si="7">+G10+H10</f>
        <v>7641543</v>
      </c>
      <c r="J10" s="145">
        <v>7540986</v>
      </c>
      <c r="K10" s="145">
        <f>7540986+280000-160653-18790</f>
        <v>7641543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263"/>
    </row>
    <row r="11" spans="2:52" x14ac:dyDescent="0.25">
      <c r="B11" s="139" t="s">
        <v>42</v>
      </c>
      <c r="C11" s="134" t="s">
        <v>43</v>
      </c>
      <c r="D11" s="135">
        <f t="shared" si="2"/>
        <v>1920000</v>
      </c>
      <c r="E11" s="136">
        <f t="shared" si="3"/>
        <v>0</v>
      </c>
      <c r="F11" s="137">
        <f t="shared" si="4"/>
        <v>1920000</v>
      </c>
      <c r="G11" s="135">
        <f t="shared" si="5"/>
        <v>4394065</v>
      </c>
      <c r="H11" s="136">
        <f t="shared" si="6"/>
        <v>0</v>
      </c>
      <c r="I11" s="137">
        <f t="shared" si="7"/>
        <v>4394065</v>
      </c>
      <c r="J11" s="135">
        <v>600000</v>
      </c>
      <c r="K11" s="135">
        <f>1100000+1974065</f>
        <v>3074065</v>
      </c>
      <c r="L11" s="135"/>
      <c r="M11" s="135">
        <v>0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>
        <v>1020000</v>
      </c>
      <c r="AE11" s="135">
        <v>1020000</v>
      </c>
      <c r="AF11" s="135">
        <v>300000</v>
      </c>
      <c r="AG11" s="135">
        <v>300000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263"/>
    </row>
    <row r="12" spans="2:52" x14ac:dyDescent="0.25">
      <c r="B12" s="139" t="s">
        <v>44</v>
      </c>
      <c r="C12" s="134" t="s">
        <v>45</v>
      </c>
      <c r="D12" s="135">
        <f t="shared" si="2"/>
        <v>120000</v>
      </c>
      <c r="E12" s="136">
        <f t="shared" si="3"/>
        <v>0</v>
      </c>
      <c r="F12" s="137">
        <f t="shared" si="4"/>
        <v>120000</v>
      </c>
      <c r="G12" s="135">
        <f t="shared" si="5"/>
        <v>220000</v>
      </c>
      <c r="H12" s="136">
        <f t="shared" si="6"/>
        <v>0</v>
      </c>
      <c r="I12" s="137">
        <f t="shared" si="7"/>
        <v>220000</v>
      </c>
      <c r="J12" s="135">
        <v>120000</v>
      </c>
      <c r="K12" s="135">
        <f>220000</f>
        <v>220000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263"/>
    </row>
    <row r="13" spans="2:52" x14ac:dyDescent="0.25">
      <c r="B13" s="139" t="s">
        <v>46</v>
      </c>
      <c r="C13" s="134" t="s">
        <v>47</v>
      </c>
      <c r="D13" s="135">
        <f t="shared" si="2"/>
        <v>129444000</v>
      </c>
      <c r="E13" s="136">
        <f t="shared" si="3"/>
        <v>0</v>
      </c>
      <c r="F13" s="137">
        <f t="shared" si="4"/>
        <v>129444000</v>
      </c>
      <c r="G13" s="135">
        <f t="shared" si="5"/>
        <v>133401047</v>
      </c>
      <c r="H13" s="136">
        <f t="shared" si="6"/>
        <v>0</v>
      </c>
      <c r="I13" s="137">
        <f t="shared" si="7"/>
        <v>133401047</v>
      </c>
      <c r="J13" s="135">
        <f>500000+1340000+7374000+550000</f>
        <v>9764000</v>
      </c>
      <c r="K13" s="135">
        <f>13764000-86260+43307</f>
        <v>13721047</v>
      </c>
      <c r="L13" s="135">
        <v>12900000</v>
      </c>
      <c r="M13" s="135">
        <v>12900000</v>
      </c>
      <c r="N13" s="135"/>
      <c r="O13" s="135"/>
      <c r="P13" s="135"/>
      <c r="Q13" s="135"/>
      <c r="R13" s="135">
        <v>17200000</v>
      </c>
      <c r="S13" s="135">
        <v>17200000</v>
      </c>
      <c r="T13" s="135">
        <v>8550000</v>
      </c>
      <c r="U13" s="135">
        <v>8550000</v>
      </c>
      <c r="V13" s="135">
        <v>4000000</v>
      </c>
      <c r="W13" s="135">
        <v>4000000</v>
      </c>
      <c r="X13" s="135">
        <v>570000</v>
      </c>
      <c r="Y13" s="135">
        <v>570000</v>
      </c>
      <c r="Z13" s="135">
        <v>35300000</v>
      </c>
      <c r="AA13" s="135">
        <v>35300000</v>
      </c>
      <c r="AB13" s="135">
        <f>28000000+10920000</f>
        <v>38920000</v>
      </c>
      <c r="AC13" s="135">
        <f>28000000+10920000</f>
        <v>38920000</v>
      </c>
      <c r="AD13" s="135">
        <f>720000+300000+960000</f>
        <v>1980000</v>
      </c>
      <c r="AE13" s="135">
        <f>720000+300000+960000</f>
        <v>1980000</v>
      </c>
      <c r="AF13" s="135">
        <v>260000</v>
      </c>
      <c r="AG13" s="135">
        <v>260000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>
        <v>0</v>
      </c>
      <c r="AT13" s="135"/>
      <c r="AU13" s="135"/>
      <c r="AV13" s="135"/>
      <c r="AW13" s="135"/>
      <c r="AX13" s="135"/>
      <c r="AY13" s="135"/>
      <c r="AZ13" s="263"/>
    </row>
    <row r="14" spans="2:52" x14ac:dyDescent="0.25">
      <c r="B14" s="139" t="s">
        <v>48</v>
      </c>
      <c r="C14" s="134" t="s">
        <v>49</v>
      </c>
      <c r="D14" s="135">
        <f t="shared" si="2"/>
        <v>4500000</v>
      </c>
      <c r="E14" s="136">
        <f t="shared" si="3"/>
        <v>0</v>
      </c>
      <c r="F14" s="137">
        <f t="shared" si="4"/>
        <v>4500000</v>
      </c>
      <c r="G14" s="135">
        <f t="shared" si="5"/>
        <v>4300000</v>
      </c>
      <c r="H14" s="136">
        <f t="shared" si="6"/>
        <v>0</v>
      </c>
      <c r="I14" s="137">
        <f t="shared" si="7"/>
        <v>4300000</v>
      </c>
      <c r="J14" s="135">
        <f>4100000</f>
        <v>4100000</v>
      </c>
      <c r="K14" s="135">
        <f>3900000</f>
        <v>3900000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>
        <v>400000</v>
      </c>
      <c r="AA14" s="135">
        <v>400000</v>
      </c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263"/>
    </row>
    <row r="15" spans="2:52" x14ac:dyDescent="0.25">
      <c r="B15" s="139" t="s">
        <v>50</v>
      </c>
      <c r="C15" s="134" t="s">
        <v>51</v>
      </c>
      <c r="D15" s="135">
        <f t="shared" si="2"/>
        <v>66707000</v>
      </c>
      <c r="E15" s="136">
        <f t="shared" si="3"/>
        <v>0</v>
      </c>
      <c r="F15" s="137">
        <f t="shared" si="4"/>
        <v>66707000</v>
      </c>
      <c r="G15" s="135">
        <f t="shared" si="5"/>
        <v>64398221</v>
      </c>
      <c r="H15" s="136">
        <f t="shared" si="6"/>
        <v>0</v>
      </c>
      <c r="I15" s="137">
        <f t="shared" si="7"/>
        <v>64398221</v>
      </c>
      <c r="J15" s="135">
        <f>3938000+7500000+5541000+10000000+300000</f>
        <v>27279000</v>
      </c>
      <c r="K15" s="135">
        <f>3938000+7500000+5541000+10000000+300000+28701-4000000+810-830000+2491710</f>
        <v>24970221</v>
      </c>
      <c r="L15" s="135">
        <v>3500000</v>
      </c>
      <c r="M15" s="135">
        <v>3500000</v>
      </c>
      <c r="N15" s="135"/>
      <c r="O15" s="135"/>
      <c r="P15" s="135"/>
      <c r="Q15" s="135"/>
      <c r="R15" s="135">
        <v>4644000</v>
      </c>
      <c r="S15" s="135">
        <v>4644000</v>
      </c>
      <c r="T15" s="135">
        <v>2309000</v>
      </c>
      <c r="U15" s="135">
        <v>2309000</v>
      </c>
      <c r="V15" s="135">
        <v>1080000</v>
      </c>
      <c r="W15" s="135">
        <v>1080000</v>
      </c>
      <c r="X15" s="135">
        <v>6504000</v>
      </c>
      <c r="Y15" s="135">
        <v>6504000</v>
      </c>
      <c r="Z15" s="135">
        <f>9639000</f>
        <v>9639000</v>
      </c>
      <c r="AA15" s="135">
        <f>9639000</f>
        <v>9639000</v>
      </c>
      <c r="AB15" s="135">
        <v>10508000</v>
      </c>
      <c r="AC15" s="135">
        <v>10508000</v>
      </c>
      <c r="AD15" s="135">
        <f>356000</f>
        <v>356000</v>
      </c>
      <c r="AE15" s="135">
        <f>356000</f>
        <v>356000</v>
      </c>
      <c r="AF15" s="135">
        <f>151000</f>
        <v>151000</v>
      </c>
      <c r="AG15" s="135">
        <f>151000</f>
        <v>151000</v>
      </c>
      <c r="AH15" s="135">
        <f>580000+157000</f>
        <v>737000</v>
      </c>
      <c r="AI15" s="135">
        <f>580000+157000</f>
        <v>737000</v>
      </c>
      <c r="AJ15" s="135"/>
      <c r="AK15" s="135"/>
      <c r="AL15" s="135"/>
      <c r="AM15" s="135"/>
      <c r="AN15" s="135"/>
      <c r="AO15" s="135"/>
      <c r="AP15" s="135"/>
      <c r="AQ15" s="135"/>
      <c r="AR15" s="135"/>
      <c r="AS15" s="135">
        <v>0</v>
      </c>
      <c r="AT15" s="135"/>
      <c r="AU15" s="135"/>
      <c r="AV15" s="135"/>
      <c r="AW15" s="135"/>
      <c r="AX15" s="135"/>
      <c r="AY15" s="135"/>
      <c r="AZ15" s="263"/>
    </row>
    <row r="16" spans="2:52" s="140" customFormat="1" ht="12.75" x14ac:dyDescent="0.2">
      <c r="B16" s="144" t="s">
        <v>52</v>
      </c>
      <c r="C16" s="142" t="s">
        <v>53</v>
      </c>
      <c r="D16" s="143">
        <f t="shared" ref="D16:AS16" si="8">SUM(D11:D15)</f>
        <v>202691000</v>
      </c>
      <c r="E16" s="143">
        <f t="shared" si="8"/>
        <v>0</v>
      </c>
      <c r="F16" s="143">
        <f t="shared" si="8"/>
        <v>202691000</v>
      </c>
      <c r="G16" s="143">
        <f t="shared" si="8"/>
        <v>206713333</v>
      </c>
      <c r="H16" s="143">
        <f t="shared" si="8"/>
        <v>0</v>
      </c>
      <c r="I16" s="143">
        <f t="shared" si="8"/>
        <v>206713333</v>
      </c>
      <c r="J16" s="143">
        <f t="shared" si="8"/>
        <v>41863000</v>
      </c>
      <c r="K16" s="143">
        <f t="shared" si="8"/>
        <v>45885333</v>
      </c>
      <c r="L16" s="143">
        <f t="shared" si="8"/>
        <v>16400000</v>
      </c>
      <c r="M16" s="143">
        <f t="shared" si="8"/>
        <v>16400000</v>
      </c>
      <c r="N16" s="143">
        <f t="shared" si="8"/>
        <v>0</v>
      </c>
      <c r="O16" s="143">
        <f t="shared" si="8"/>
        <v>0</v>
      </c>
      <c r="P16" s="143">
        <f t="shared" si="8"/>
        <v>0</v>
      </c>
      <c r="Q16" s="143">
        <f t="shared" si="8"/>
        <v>0</v>
      </c>
      <c r="R16" s="143">
        <f t="shared" si="8"/>
        <v>21844000</v>
      </c>
      <c r="S16" s="143">
        <f t="shared" si="8"/>
        <v>21844000</v>
      </c>
      <c r="T16" s="143">
        <f t="shared" si="8"/>
        <v>10859000</v>
      </c>
      <c r="U16" s="143">
        <f t="shared" si="8"/>
        <v>10859000</v>
      </c>
      <c r="V16" s="143">
        <f t="shared" si="8"/>
        <v>5080000</v>
      </c>
      <c r="W16" s="143">
        <f t="shared" si="8"/>
        <v>5080000</v>
      </c>
      <c r="X16" s="143">
        <f t="shared" si="8"/>
        <v>7074000</v>
      </c>
      <c r="Y16" s="143">
        <f t="shared" si="8"/>
        <v>7074000</v>
      </c>
      <c r="Z16" s="143">
        <f t="shared" si="8"/>
        <v>45339000</v>
      </c>
      <c r="AA16" s="143">
        <f t="shared" si="8"/>
        <v>45339000</v>
      </c>
      <c r="AB16" s="143">
        <f t="shared" si="8"/>
        <v>49428000</v>
      </c>
      <c r="AC16" s="143">
        <f t="shared" si="8"/>
        <v>49428000</v>
      </c>
      <c r="AD16" s="143">
        <f t="shared" si="8"/>
        <v>3356000</v>
      </c>
      <c r="AE16" s="143">
        <f t="shared" si="8"/>
        <v>3356000</v>
      </c>
      <c r="AF16" s="143">
        <f t="shared" si="8"/>
        <v>711000</v>
      </c>
      <c r="AG16" s="143">
        <f t="shared" si="8"/>
        <v>711000</v>
      </c>
      <c r="AH16" s="143">
        <f t="shared" si="8"/>
        <v>737000</v>
      </c>
      <c r="AI16" s="143">
        <f t="shared" si="8"/>
        <v>737000</v>
      </c>
      <c r="AJ16" s="143">
        <f t="shared" si="8"/>
        <v>0</v>
      </c>
      <c r="AK16" s="143">
        <f t="shared" si="8"/>
        <v>0</v>
      </c>
      <c r="AL16" s="143">
        <f t="shared" si="8"/>
        <v>0</v>
      </c>
      <c r="AM16" s="143">
        <f t="shared" si="8"/>
        <v>0</v>
      </c>
      <c r="AN16" s="143">
        <f t="shared" si="8"/>
        <v>0</v>
      </c>
      <c r="AO16" s="143">
        <f t="shared" si="8"/>
        <v>0</v>
      </c>
      <c r="AP16" s="143">
        <f t="shared" si="8"/>
        <v>0</v>
      </c>
      <c r="AQ16" s="143">
        <f t="shared" si="8"/>
        <v>0</v>
      </c>
      <c r="AR16" s="143">
        <f t="shared" si="8"/>
        <v>0</v>
      </c>
      <c r="AS16" s="143">
        <f t="shared" si="8"/>
        <v>0</v>
      </c>
      <c r="AT16" s="143">
        <f t="shared" ref="AT16:AY16" si="9">SUM(AT11:AT15)</f>
        <v>0</v>
      </c>
      <c r="AU16" s="143">
        <f t="shared" si="9"/>
        <v>0</v>
      </c>
      <c r="AV16" s="143">
        <f t="shared" si="9"/>
        <v>0</v>
      </c>
      <c r="AW16" s="143">
        <f t="shared" si="9"/>
        <v>0</v>
      </c>
      <c r="AX16" s="143">
        <f t="shared" si="9"/>
        <v>0</v>
      </c>
      <c r="AY16" s="143">
        <f t="shared" si="9"/>
        <v>0</v>
      </c>
      <c r="AZ16" s="263"/>
    </row>
    <row r="17" spans="2:52" s="140" customFormat="1" ht="12.75" x14ac:dyDescent="0.2">
      <c r="B17" s="147" t="s">
        <v>54</v>
      </c>
      <c r="C17" s="142" t="s">
        <v>55</v>
      </c>
      <c r="D17" s="145">
        <f t="shared" ref="D17:D31" si="10">+J17+L17+N17+P17+R17+T17+V17+X17+Z17+AB17+AD17+AF17+AH17+AJ17</f>
        <v>0</v>
      </c>
      <c r="E17" s="289">
        <f t="shared" ref="E17:E31" si="11">+AL17+AN17+AP17+AT17+AV17+AX17+AR17</f>
        <v>0</v>
      </c>
      <c r="F17" s="143">
        <f t="shared" ref="F17:F31" si="12">+D17+E17</f>
        <v>0</v>
      </c>
      <c r="G17" s="145">
        <f>+M17+O17+Q17+S17+U17+W17+Y17+AA17+AC17+AE17+AG17+AI17+AK17+AM17</f>
        <v>0</v>
      </c>
      <c r="H17" s="289">
        <f>+AO17+AQ17+AS17+AW17+AY17+AZ17+AU17</f>
        <v>0</v>
      </c>
      <c r="I17" s="143">
        <f t="shared" ref="I17:I31" si="13">+G17+H17</f>
        <v>0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263"/>
    </row>
    <row r="18" spans="2:52" hidden="1" x14ac:dyDescent="0.25">
      <c r="B18" s="148" t="s">
        <v>56</v>
      </c>
      <c r="C18" s="134" t="s">
        <v>57</v>
      </c>
      <c r="D18" s="135">
        <f t="shared" si="10"/>
        <v>0</v>
      </c>
      <c r="E18" s="136">
        <f t="shared" si="11"/>
        <v>0</v>
      </c>
      <c r="F18" s="137">
        <f t="shared" si="12"/>
        <v>0</v>
      </c>
      <c r="G18" s="135">
        <f>+M18+O18+Q18+S18+U18+W18+Y18+AA18+AC18+AE18+AG18+AI18+AK18+AM18</f>
        <v>0</v>
      </c>
      <c r="H18" s="136">
        <f>+AO18+AQ18+AS18+AW18+AY18+AZ18+AU18</f>
        <v>0</v>
      </c>
      <c r="I18" s="137">
        <f t="shared" si="13"/>
        <v>0</v>
      </c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263"/>
    </row>
    <row r="19" spans="2:52" x14ac:dyDescent="0.25">
      <c r="B19" s="148" t="s">
        <v>58</v>
      </c>
      <c r="C19" s="134" t="s">
        <v>59</v>
      </c>
      <c r="D19" s="135">
        <f t="shared" si="10"/>
        <v>10434500</v>
      </c>
      <c r="E19" s="136">
        <f t="shared" si="11"/>
        <v>0</v>
      </c>
      <c r="F19" s="137">
        <f t="shared" si="12"/>
        <v>10434500</v>
      </c>
      <c r="G19" s="135">
        <f t="shared" ref="G19:G29" si="14">+K19+M19+O19+Q19+S19+U19+W19+Y19+AA19+AC19+AE19+AG19+AI19+AK19</f>
        <v>10434500</v>
      </c>
      <c r="H19" s="136">
        <f t="shared" ref="H19:H29" si="15">+AM19+AO19+AQ19+AU19+AW19+AY19+AS19</f>
        <v>0</v>
      </c>
      <c r="I19" s="137">
        <f t="shared" si="13"/>
        <v>10434500</v>
      </c>
      <c r="J19" s="135">
        <v>5000000</v>
      </c>
      <c r="K19" s="135">
        <v>5000000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>
        <v>5434500</v>
      </c>
      <c r="Y19" s="135">
        <v>5434500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263"/>
    </row>
    <row r="20" spans="2:52" hidden="1" x14ac:dyDescent="0.25">
      <c r="B20" s="148" t="s">
        <v>562</v>
      </c>
      <c r="C20" s="134" t="s">
        <v>61</v>
      </c>
      <c r="D20" s="135">
        <f t="shared" si="10"/>
        <v>0</v>
      </c>
      <c r="E20" s="136">
        <f t="shared" si="11"/>
        <v>0</v>
      </c>
      <c r="F20" s="137">
        <f t="shared" si="12"/>
        <v>0</v>
      </c>
      <c r="G20" s="135">
        <f t="shared" si="14"/>
        <v>0</v>
      </c>
      <c r="H20" s="136">
        <f t="shared" si="15"/>
        <v>0</v>
      </c>
      <c r="I20" s="137">
        <f t="shared" si="13"/>
        <v>0</v>
      </c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263"/>
    </row>
    <row r="21" spans="2:52" hidden="1" x14ac:dyDescent="0.25">
      <c r="B21" s="148" t="s">
        <v>563</v>
      </c>
      <c r="C21" s="134" t="s">
        <v>63</v>
      </c>
      <c r="D21" s="135">
        <f t="shared" si="10"/>
        <v>0</v>
      </c>
      <c r="E21" s="136">
        <f t="shared" si="11"/>
        <v>0</v>
      </c>
      <c r="F21" s="137">
        <f t="shared" si="12"/>
        <v>0</v>
      </c>
      <c r="G21" s="135">
        <f t="shared" si="14"/>
        <v>0</v>
      </c>
      <c r="H21" s="136">
        <f t="shared" si="15"/>
        <v>0</v>
      </c>
      <c r="I21" s="137">
        <f t="shared" si="13"/>
        <v>0</v>
      </c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263"/>
    </row>
    <row r="22" spans="2:52" hidden="1" x14ac:dyDescent="0.25">
      <c r="B22" s="148" t="s">
        <v>564</v>
      </c>
      <c r="C22" s="134" t="s">
        <v>65</v>
      </c>
      <c r="D22" s="135">
        <f t="shared" si="10"/>
        <v>0</v>
      </c>
      <c r="E22" s="136">
        <f t="shared" si="11"/>
        <v>0</v>
      </c>
      <c r="F22" s="137">
        <f t="shared" si="12"/>
        <v>0</v>
      </c>
      <c r="G22" s="135">
        <f t="shared" si="14"/>
        <v>0</v>
      </c>
      <c r="H22" s="136">
        <f t="shared" si="15"/>
        <v>0</v>
      </c>
      <c r="I22" s="137">
        <f t="shared" si="13"/>
        <v>0</v>
      </c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263"/>
    </row>
    <row r="23" spans="2:52" x14ac:dyDescent="0.25">
      <c r="B23" s="148" t="s">
        <v>66</v>
      </c>
      <c r="C23" s="134" t="s">
        <v>67</v>
      </c>
      <c r="D23" s="135">
        <f t="shared" si="10"/>
        <v>750000</v>
      </c>
      <c r="E23" s="136">
        <f t="shared" si="11"/>
        <v>0</v>
      </c>
      <c r="F23" s="137">
        <f t="shared" si="12"/>
        <v>750000</v>
      </c>
      <c r="G23" s="135">
        <f t="shared" si="14"/>
        <v>750000</v>
      </c>
      <c r="H23" s="136">
        <f t="shared" si="15"/>
        <v>2000000</v>
      </c>
      <c r="I23" s="137">
        <f t="shared" si="13"/>
        <v>2750000</v>
      </c>
      <c r="J23" s="135">
        <v>0</v>
      </c>
      <c r="K23" s="135">
        <v>0</v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>
        <v>750000</v>
      </c>
      <c r="AK23" s="135">
        <v>750000</v>
      </c>
      <c r="AL23" s="135"/>
      <c r="AM23" s="135"/>
      <c r="AN23" s="135"/>
      <c r="AO23" s="135"/>
      <c r="AP23" s="135"/>
      <c r="AQ23" s="135"/>
      <c r="AR23" s="135"/>
      <c r="AS23" s="135"/>
      <c r="AT23" s="135"/>
      <c r="AU23" s="135">
        <v>2000000</v>
      </c>
      <c r="AV23" s="135"/>
      <c r="AW23" s="135"/>
      <c r="AX23" s="135"/>
      <c r="AY23" s="135"/>
      <c r="AZ23" s="263"/>
    </row>
    <row r="24" spans="2:52" hidden="1" x14ac:dyDescent="0.25">
      <c r="B24" s="148" t="s">
        <v>565</v>
      </c>
      <c r="C24" s="134" t="s">
        <v>69</v>
      </c>
      <c r="D24" s="135">
        <f t="shared" si="10"/>
        <v>0</v>
      </c>
      <c r="E24" s="136">
        <f t="shared" si="11"/>
        <v>0</v>
      </c>
      <c r="F24" s="137">
        <f t="shared" si="12"/>
        <v>0</v>
      </c>
      <c r="G24" s="135">
        <f t="shared" si="14"/>
        <v>0</v>
      </c>
      <c r="H24" s="136">
        <f t="shared" si="15"/>
        <v>0</v>
      </c>
      <c r="I24" s="137">
        <f t="shared" si="13"/>
        <v>0</v>
      </c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263"/>
    </row>
    <row r="25" spans="2:52" ht="25.5" customHeight="1" x14ac:dyDescent="0.25">
      <c r="B25" s="148" t="s">
        <v>566</v>
      </c>
      <c r="C25" s="134" t="s">
        <v>71</v>
      </c>
      <c r="D25" s="135">
        <f t="shared" si="10"/>
        <v>0</v>
      </c>
      <c r="E25" s="136">
        <f t="shared" si="11"/>
        <v>0</v>
      </c>
      <c r="F25" s="137">
        <f t="shared" si="12"/>
        <v>0</v>
      </c>
      <c r="G25" s="135">
        <f t="shared" si="14"/>
        <v>0</v>
      </c>
      <c r="H25" s="136">
        <f t="shared" si="15"/>
        <v>0</v>
      </c>
      <c r="I25" s="137">
        <f t="shared" si="13"/>
        <v>0</v>
      </c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263"/>
    </row>
    <row r="26" spans="2:52" hidden="1" x14ac:dyDescent="0.25">
      <c r="B26" s="148" t="s">
        <v>72</v>
      </c>
      <c r="C26" s="134" t="s">
        <v>73</v>
      </c>
      <c r="D26" s="135">
        <f t="shared" si="10"/>
        <v>0</v>
      </c>
      <c r="E26" s="136">
        <f t="shared" si="11"/>
        <v>0</v>
      </c>
      <c r="F26" s="137">
        <f t="shared" si="12"/>
        <v>0</v>
      </c>
      <c r="G26" s="135">
        <f t="shared" si="14"/>
        <v>0</v>
      </c>
      <c r="H26" s="136">
        <f t="shared" si="15"/>
        <v>0</v>
      </c>
      <c r="I26" s="137">
        <f t="shared" si="13"/>
        <v>0</v>
      </c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263"/>
    </row>
    <row r="27" spans="2:52" hidden="1" x14ac:dyDescent="0.25">
      <c r="B27" s="149" t="s">
        <v>74</v>
      </c>
      <c r="C27" s="134" t="s">
        <v>75</v>
      </c>
      <c r="D27" s="135">
        <f t="shared" si="10"/>
        <v>0</v>
      </c>
      <c r="E27" s="136">
        <f t="shared" si="11"/>
        <v>0</v>
      </c>
      <c r="F27" s="137">
        <f t="shared" si="12"/>
        <v>0</v>
      </c>
      <c r="G27" s="135">
        <f t="shared" si="14"/>
        <v>0</v>
      </c>
      <c r="H27" s="136">
        <f t="shared" si="15"/>
        <v>0</v>
      </c>
      <c r="I27" s="137">
        <f t="shared" si="13"/>
        <v>0</v>
      </c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263"/>
    </row>
    <row r="28" spans="2:52" hidden="1" x14ac:dyDescent="0.25">
      <c r="B28" s="148" t="s">
        <v>76</v>
      </c>
      <c r="C28" s="134" t="s">
        <v>77</v>
      </c>
      <c r="D28" s="135">
        <f t="shared" si="10"/>
        <v>0</v>
      </c>
      <c r="E28" s="136">
        <f t="shared" si="11"/>
        <v>0</v>
      </c>
      <c r="F28" s="137">
        <f t="shared" si="12"/>
        <v>0</v>
      </c>
      <c r="G28" s="135">
        <f t="shared" si="14"/>
        <v>0</v>
      </c>
      <c r="H28" s="136">
        <f t="shared" si="15"/>
        <v>0</v>
      </c>
      <c r="I28" s="137">
        <f t="shared" si="13"/>
        <v>0</v>
      </c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263"/>
    </row>
    <row r="29" spans="2:52" x14ac:dyDescent="0.25">
      <c r="B29" s="148" t="s">
        <v>78</v>
      </c>
      <c r="C29" s="134" t="s">
        <v>79</v>
      </c>
      <c r="D29" s="135">
        <f t="shared" si="10"/>
        <v>21690000</v>
      </c>
      <c r="E29" s="136">
        <f t="shared" si="11"/>
        <v>33400000</v>
      </c>
      <c r="F29" s="137">
        <f t="shared" si="12"/>
        <v>55090000</v>
      </c>
      <c r="G29" s="135">
        <f t="shared" si="14"/>
        <v>21796299</v>
      </c>
      <c r="H29" s="136">
        <f t="shared" si="15"/>
        <v>31441400</v>
      </c>
      <c r="I29" s="137">
        <f t="shared" si="13"/>
        <v>53237699</v>
      </c>
      <c r="J29" s="135">
        <v>20190000</v>
      </c>
      <c r="K29" s="135">
        <f>20190000+106299</f>
        <v>20296299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>
        <f>1500000</f>
        <v>1500000</v>
      </c>
      <c r="AK29" s="135">
        <f>1500000</f>
        <v>1500000</v>
      </c>
      <c r="AL29" s="135">
        <v>16000000</v>
      </c>
      <c r="AM29" s="135">
        <v>16000000</v>
      </c>
      <c r="AN29" s="135">
        <v>0</v>
      </c>
      <c r="AO29" s="135">
        <v>0</v>
      </c>
      <c r="AP29" s="135">
        <v>13000000</v>
      </c>
      <c r="AQ29" s="135">
        <f>13000000+41400</f>
        <v>13041400</v>
      </c>
      <c r="AR29" s="135"/>
      <c r="AS29" s="135"/>
      <c r="AT29" s="135">
        <v>2000000</v>
      </c>
      <c r="AU29" s="135"/>
      <c r="AV29" s="135">
        <v>1800000</v>
      </c>
      <c r="AW29" s="135">
        <f>1800000</f>
        <v>1800000</v>
      </c>
      <c r="AX29" s="135">
        <v>600000</v>
      </c>
      <c r="AY29" s="135">
        <v>600000</v>
      </c>
      <c r="AZ29" s="263"/>
    </row>
    <row r="30" spans="2:52" hidden="1" x14ac:dyDescent="0.25">
      <c r="B30" s="149" t="s">
        <v>80</v>
      </c>
      <c r="C30" s="134" t="s">
        <v>81</v>
      </c>
      <c r="D30" s="135">
        <f t="shared" si="10"/>
        <v>0</v>
      </c>
      <c r="E30" s="136">
        <f t="shared" si="11"/>
        <v>0</v>
      </c>
      <c r="F30" s="137">
        <f t="shared" si="12"/>
        <v>0</v>
      </c>
      <c r="G30" s="135">
        <f>+M30+O30+Q30+S30+U30+W30+Y30+AA30+AC30+AE30+AG30+AI30+AK30+AM30</f>
        <v>0</v>
      </c>
      <c r="H30" s="136">
        <f>+AO30+AQ30+AS30+AW30+AY30+AZ30+AU30</f>
        <v>0</v>
      </c>
      <c r="I30" s="137">
        <f t="shared" si="13"/>
        <v>0</v>
      </c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263"/>
    </row>
    <row r="31" spans="2:52" hidden="1" x14ac:dyDescent="0.25">
      <c r="B31" s="149" t="s">
        <v>82</v>
      </c>
      <c r="C31" s="134" t="s">
        <v>81</v>
      </c>
      <c r="D31" s="135">
        <f t="shared" si="10"/>
        <v>0</v>
      </c>
      <c r="E31" s="136">
        <f t="shared" si="11"/>
        <v>0</v>
      </c>
      <c r="F31" s="137">
        <f t="shared" si="12"/>
        <v>0</v>
      </c>
      <c r="G31" s="135">
        <f>+M31+O31+Q31+S31+U31+W31+Y31+AA31+AC31+AE31+AG31+AI31+AK31+AM31</f>
        <v>0</v>
      </c>
      <c r="H31" s="136">
        <f>+AO31+AQ31+AS31+AW31+AY31+AZ31+AU31</f>
        <v>0</v>
      </c>
      <c r="I31" s="137">
        <f t="shared" si="13"/>
        <v>0</v>
      </c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263"/>
    </row>
    <row r="32" spans="2:52" s="140" customFormat="1" ht="15" customHeight="1" x14ac:dyDescent="0.2">
      <c r="B32" s="147" t="s">
        <v>83</v>
      </c>
      <c r="C32" s="142" t="s">
        <v>84</v>
      </c>
      <c r="D32" s="143">
        <f t="shared" ref="D32:I32" si="16">SUM(D18:D31)</f>
        <v>32874500</v>
      </c>
      <c r="E32" s="143">
        <f t="shared" si="16"/>
        <v>33400000</v>
      </c>
      <c r="F32" s="143">
        <f t="shared" si="16"/>
        <v>66274500</v>
      </c>
      <c r="G32" s="143">
        <f>SUM(G18:G31)</f>
        <v>32980799</v>
      </c>
      <c r="H32" s="143">
        <f>SUM(H18:H31)</f>
        <v>33441400</v>
      </c>
      <c r="I32" s="143">
        <f t="shared" si="16"/>
        <v>66422199</v>
      </c>
      <c r="J32" s="143">
        <f t="shared" ref="J32" si="17">SUM(J18:J31)</f>
        <v>25190000</v>
      </c>
      <c r="K32" s="143">
        <f t="shared" ref="K32:AY32" si="18">SUM(K18:K31)</f>
        <v>25296299</v>
      </c>
      <c r="L32" s="143">
        <f t="shared" si="18"/>
        <v>0</v>
      </c>
      <c r="M32" s="143">
        <f t="shared" si="18"/>
        <v>0</v>
      </c>
      <c r="N32" s="143">
        <f t="shared" si="18"/>
        <v>0</v>
      </c>
      <c r="O32" s="143">
        <f t="shared" si="18"/>
        <v>0</v>
      </c>
      <c r="P32" s="143">
        <f t="shared" si="18"/>
        <v>0</v>
      </c>
      <c r="Q32" s="143">
        <f t="shared" si="18"/>
        <v>0</v>
      </c>
      <c r="R32" s="143">
        <f t="shared" si="18"/>
        <v>0</v>
      </c>
      <c r="S32" s="143">
        <f t="shared" si="18"/>
        <v>0</v>
      </c>
      <c r="T32" s="143">
        <f t="shared" si="18"/>
        <v>0</v>
      </c>
      <c r="U32" s="143">
        <f t="shared" si="18"/>
        <v>0</v>
      </c>
      <c r="V32" s="143">
        <f t="shared" si="18"/>
        <v>0</v>
      </c>
      <c r="W32" s="143">
        <f t="shared" si="18"/>
        <v>0</v>
      </c>
      <c r="X32" s="143">
        <f t="shared" si="18"/>
        <v>5434500</v>
      </c>
      <c r="Y32" s="143">
        <f t="shared" si="18"/>
        <v>5434500</v>
      </c>
      <c r="Z32" s="143">
        <f t="shared" si="18"/>
        <v>0</v>
      </c>
      <c r="AA32" s="143">
        <f t="shared" si="18"/>
        <v>0</v>
      </c>
      <c r="AB32" s="143">
        <f t="shared" si="18"/>
        <v>0</v>
      </c>
      <c r="AC32" s="143">
        <f t="shared" si="18"/>
        <v>0</v>
      </c>
      <c r="AD32" s="143">
        <f t="shared" si="18"/>
        <v>0</v>
      </c>
      <c r="AE32" s="143">
        <f t="shared" si="18"/>
        <v>0</v>
      </c>
      <c r="AF32" s="143">
        <f t="shared" si="18"/>
        <v>0</v>
      </c>
      <c r="AG32" s="143">
        <f t="shared" si="18"/>
        <v>0</v>
      </c>
      <c r="AH32" s="143">
        <f t="shared" si="18"/>
        <v>0</v>
      </c>
      <c r="AI32" s="143">
        <f t="shared" si="18"/>
        <v>0</v>
      </c>
      <c r="AJ32" s="143">
        <f t="shared" si="18"/>
        <v>2250000</v>
      </c>
      <c r="AK32" s="143">
        <f t="shared" si="18"/>
        <v>2250000</v>
      </c>
      <c r="AL32" s="143">
        <f t="shared" si="18"/>
        <v>16000000</v>
      </c>
      <c r="AM32" s="143">
        <f t="shared" si="18"/>
        <v>16000000</v>
      </c>
      <c r="AN32" s="143">
        <f t="shared" si="18"/>
        <v>0</v>
      </c>
      <c r="AO32" s="143">
        <f t="shared" si="18"/>
        <v>0</v>
      </c>
      <c r="AP32" s="143">
        <f t="shared" si="18"/>
        <v>13000000</v>
      </c>
      <c r="AQ32" s="143">
        <f t="shared" si="18"/>
        <v>13041400</v>
      </c>
      <c r="AR32" s="143">
        <f t="shared" si="18"/>
        <v>0</v>
      </c>
      <c r="AS32" s="143">
        <f t="shared" si="18"/>
        <v>0</v>
      </c>
      <c r="AT32" s="143">
        <f t="shared" si="18"/>
        <v>2000000</v>
      </c>
      <c r="AU32" s="143">
        <f t="shared" si="18"/>
        <v>2000000</v>
      </c>
      <c r="AV32" s="143">
        <f t="shared" si="18"/>
        <v>1800000</v>
      </c>
      <c r="AW32" s="143">
        <f t="shared" si="18"/>
        <v>1800000</v>
      </c>
      <c r="AX32" s="143">
        <f t="shared" si="18"/>
        <v>600000</v>
      </c>
      <c r="AY32" s="143">
        <f t="shared" si="18"/>
        <v>600000</v>
      </c>
      <c r="AZ32" s="263"/>
    </row>
    <row r="33" spans="2:52" x14ac:dyDescent="0.25">
      <c r="B33" s="150" t="s">
        <v>85</v>
      </c>
      <c r="C33" s="151" t="s">
        <v>86</v>
      </c>
      <c r="D33" s="152">
        <f t="shared" ref="D33:J33" si="19">+D32+D17+D16+D10+D9</f>
        <v>272407996</v>
      </c>
      <c r="E33" s="152">
        <f t="shared" si="19"/>
        <v>33400000</v>
      </c>
      <c r="F33" s="152">
        <f t="shared" si="19"/>
        <v>305807996</v>
      </c>
      <c r="G33" s="152">
        <f>+G32+G17+G16+G10+G9</f>
        <v>281888185</v>
      </c>
      <c r="H33" s="152">
        <f>+H32+H17+H16+H10+H9</f>
        <v>33441400</v>
      </c>
      <c r="I33" s="152">
        <f t="shared" si="19"/>
        <v>315329585</v>
      </c>
      <c r="J33" s="152">
        <f t="shared" si="19"/>
        <v>103895496</v>
      </c>
      <c r="K33" s="152">
        <f t="shared" ref="K33:AY33" si="20">+K32+K17+K16+K10+K9</f>
        <v>113375685</v>
      </c>
      <c r="L33" s="152">
        <f t="shared" si="20"/>
        <v>16400000</v>
      </c>
      <c r="M33" s="152">
        <f t="shared" si="20"/>
        <v>16400000</v>
      </c>
      <c r="N33" s="152">
        <f t="shared" si="20"/>
        <v>0</v>
      </c>
      <c r="O33" s="152">
        <f t="shared" si="20"/>
        <v>0</v>
      </c>
      <c r="P33" s="152">
        <f t="shared" si="20"/>
        <v>0</v>
      </c>
      <c r="Q33" s="152">
        <f t="shared" si="20"/>
        <v>0</v>
      </c>
      <c r="R33" s="152">
        <f t="shared" si="20"/>
        <v>21844000</v>
      </c>
      <c r="S33" s="152">
        <f t="shared" si="20"/>
        <v>21844000</v>
      </c>
      <c r="T33" s="152">
        <f t="shared" si="20"/>
        <v>10859000</v>
      </c>
      <c r="U33" s="152">
        <f t="shared" si="20"/>
        <v>10859000</v>
      </c>
      <c r="V33" s="152">
        <f t="shared" si="20"/>
        <v>5080000</v>
      </c>
      <c r="W33" s="152">
        <f t="shared" si="20"/>
        <v>5080000</v>
      </c>
      <c r="X33" s="152">
        <f t="shared" si="20"/>
        <v>12508500</v>
      </c>
      <c r="Y33" s="152">
        <f t="shared" si="20"/>
        <v>12508500</v>
      </c>
      <c r="Z33" s="152">
        <f t="shared" si="20"/>
        <v>45339000</v>
      </c>
      <c r="AA33" s="152">
        <f t="shared" si="20"/>
        <v>45339000</v>
      </c>
      <c r="AB33" s="152">
        <f t="shared" si="20"/>
        <v>49428000</v>
      </c>
      <c r="AC33" s="152">
        <f t="shared" si="20"/>
        <v>49428000</v>
      </c>
      <c r="AD33" s="152">
        <f t="shared" si="20"/>
        <v>3356000</v>
      </c>
      <c r="AE33" s="152">
        <f t="shared" si="20"/>
        <v>3356000</v>
      </c>
      <c r="AF33" s="152">
        <f t="shared" si="20"/>
        <v>711000</v>
      </c>
      <c r="AG33" s="152">
        <f t="shared" si="20"/>
        <v>711000</v>
      </c>
      <c r="AH33" s="152">
        <f t="shared" si="20"/>
        <v>737000</v>
      </c>
      <c r="AI33" s="152">
        <f t="shared" si="20"/>
        <v>737000</v>
      </c>
      <c r="AJ33" s="152">
        <f t="shared" si="20"/>
        <v>2250000</v>
      </c>
      <c r="AK33" s="152">
        <f t="shared" si="20"/>
        <v>2250000</v>
      </c>
      <c r="AL33" s="152">
        <f t="shared" si="20"/>
        <v>16000000</v>
      </c>
      <c r="AM33" s="152">
        <f t="shared" si="20"/>
        <v>16000000</v>
      </c>
      <c r="AN33" s="152">
        <f t="shared" si="20"/>
        <v>0</v>
      </c>
      <c r="AO33" s="152">
        <f t="shared" si="20"/>
        <v>0</v>
      </c>
      <c r="AP33" s="152">
        <f t="shared" si="20"/>
        <v>13000000</v>
      </c>
      <c r="AQ33" s="152">
        <f t="shared" si="20"/>
        <v>13041400</v>
      </c>
      <c r="AR33" s="152">
        <f t="shared" si="20"/>
        <v>0</v>
      </c>
      <c r="AS33" s="152">
        <f t="shared" si="20"/>
        <v>0</v>
      </c>
      <c r="AT33" s="152">
        <f t="shared" si="20"/>
        <v>2000000</v>
      </c>
      <c r="AU33" s="152">
        <f t="shared" si="20"/>
        <v>2000000</v>
      </c>
      <c r="AV33" s="152">
        <f t="shared" si="20"/>
        <v>1800000</v>
      </c>
      <c r="AW33" s="152">
        <f t="shared" si="20"/>
        <v>1800000</v>
      </c>
      <c r="AX33" s="152">
        <f t="shared" si="20"/>
        <v>600000</v>
      </c>
      <c r="AY33" s="152">
        <f t="shared" si="20"/>
        <v>600000</v>
      </c>
    </row>
    <row r="34" spans="2:52" x14ac:dyDescent="0.25">
      <c r="B34" s="153" t="s">
        <v>87</v>
      </c>
      <c r="C34" s="134" t="s">
        <v>88</v>
      </c>
      <c r="D34" s="135">
        <f t="shared" ref="D34:D40" si="21">+J34+L34+N34+P34+R34+T34+V34+X34+Z34+AB34+AD34+AF34+AH34+AJ34</f>
        <v>0</v>
      </c>
      <c r="E34" s="136">
        <f t="shared" ref="E34:E40" si="22">+AL34+AN34+AP34+AT34+AV34+AX34+AR34</f>
        <v>0</v>
      </c>
      <c r="F34" s="137">
        <f t="shared" ref="F34:F40" si="23">+D34+E34</f>
        <v>0</v>
      </c>
      <c r="G34" s="135">
        <f>+M34+O34+Q34+S34+U34+W34+Y34+AA34+AC34+AE34+AG34+AI34+AK34+AM34</f>
        <v>0</v>
      </c>
      <c r="H34" s="136">
        <f>+AO34+AQ34+AS34+AW34+AY34+AZ34+AU34</f>
        <v>0</v>
      </c>
      <c r="I34" s="137">
        <f t="shared" ref="I34:I40" si="24">+G34+H34</f>
        <v>0</v>
      </c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</row>
    <row r="35" spans="2:52" x14ac:dyDescent="0.25">
      <c r="B35" s="153" t="s">
        <v>89</v>
      </c>
      <c r="C35" s="134" t="s">
        <v>90</v>
      </c>
      <c r="D35" s="135">
        <f t="shared" si="21"/>
        <v>5118000</v>
      </c>
      <c r="E35" s="136">
        <f t="shared" si="22"/>
        <v>0</v>
      </c>
      <c r="F35" s="137">
        <f t="shared" si="23"/>
        <v>5118000</v>
      </c>
      <c r="G35" s="135">
        <f>+M35+O35+Q35+S35+U35+W35+Y35+AA35+AC35+AE35+AG35+AI35+AK35+AM35</f>
        <v>5118000</v>
      </c>
      <c r="H35" s="136">
        <f>+AO35+AQ35+AS35+AW35+AY35+AZ35+AU35</f>
        <v>0</v>
      </c>
      <c r="I35" s="137">
        <f t="shared" si="24"/>
        <v>5118000</v>
      </c>
      <c r="J35" s="135"/>
      <c r="K35" s="135"/>
      <c r="L35" s="135"/>
      <c r="M35" s="135"/>
      <c r="N35" s="135">
        <v>5118000</v>
      </c>
      <c r="O35" s="135">
        <v>5118000</v>
      </c>
      <c r="P35" s="135"/>
      <c r="Q35" s="135"/>
      <c r="R35" s="135"/>
      <c r="S35" s="135"/>
      <c r="T35" s="135"/>
      <c r="U35" s="135"/>
      <c r="V35" s="135"/>
      <c r="W35" s="135"/>
      <c r="X35" s="135"/>
      <c r="Y35" s="135">
        <v>0</v>
      </c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</row>
    <row r="36" spans="2:52" hidden="1" x14ac:dyDescent="0.25">
      <c r="B36" s="153" t="s">
        <v>91</v>
      </c>
      <c r="C36" s="134" t="s">
        <v>92</v>
      </c>
      <c r="D36" s="135">
        <f t="shared" si="21"/>
        <v>0</v>
      </c>
      <c r="E36" s="136">
        <f t="shared" si="22"/>
        <v>0</v>
      </c>
      <c r="F36" s="137">
        <f t="shared" si="23"/>
        <v>0</v>
      </c>
      <c r="G36" s="135">
        <f>+M36+O36+Q36+S36+U36+W36+Y36+AA36+AC36+AE36+AG36+AI36+AK36+AM36</f>
        <v>0</v>
      </c>
      <c r="H36" s="136">
        <f>+AO36+AQ36+AS36+AW36+AY36+AZ36+AU36</f>
        <v>0</v>
      </c>
      <c r="I36" s="137">
        <f t="shared" si="24"/>
        <v>0</v>
      </c>
      <c r="J36" s="135"/>
      <c r="K36" s="135">
        <v>0</v>
      </c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</row>
    <row r="37" spans="2:52" x14ac:dyDescent="0.25">
      <c r="B37" s="153" t="s">
        <v>93</v>
      </c>
      <c r="C37" s="134" t="s">
        <v>94</v>
      </c>
      <c r="D37" s="135">
        <f t="shared" si="21"/>
        <v>20000000</v>
      </c>
      <c r="E37" s="136">
        <f t="shared" si="22"/>
        <v>0</v>
      </c>
      <c r="F37" s="137">
        <f t="shared" si="23"/>
        <v>20000000</v>
      </c>
      <c r="G37" s="135">
        <f>+K37+M37+O37+Q37+S37+U37+W37+Y37+AA37+AC37+AE37+AG37+AI37+AK37</f>
        <v>20567070</v>
      </c>
      <c r="H37" s="136">
        <f>+AM37+AO37+AQ37+AU37+AW37+AY37+AS37</f>
        <v>0</v>
      </c>
      <c r="I37" s="137">
        <f t="shared" si="24"/>
        <v>20567070</v>
      </c>
      <c r="J37" s="135"/>
      <c r="K37" s="135">
        <f>236220+66850+110000</f>
        <v>413070</v>
      </c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>
        <v>20000000</v>
      </c>
      <c r="Y37" s="135">
        <v>20000000</v>
      </c>
      <c r="Z37" s="135"/>
      <c r="AA37" s="135">
        <v>154000</v>
      </c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263"/>
    </row>
    <row r="38" spans="2:52" hidden="1" x14ac:dyDescent="0.25">
      <c r="B38" s="154" t="s">
        <v>95</v>
      </c>
      <c r="C38" s="134" t="s">
        <v>96</v>
      </c>
      <c r="D38" s="135">
        <f t="shared" si="21"/>
        <v>0</v>
      </c>
      <c r="E38" s="136">
        <f t="shared" si="22"/>
        <v>0</v>
      </c>
      <c r="F38" s="137">
        <f t="shared" si="23"/>
        <v>0</v>
      </c>
      <c r="G38" s="135">
        <f>+K38+M38+O38+Q38+S38+U38+W38+Y38+AA38+AC38+AE38+AG38+AI38+AK38</f>
        <v>0</v>
      </c>
      <c r="H38" s="136">
        <f>+AM38+AO38+AQ38+AU38+AW38+AY38+AS38</f>
        <v>0</v>
      </c>
      <c r="I38" s="137">
        <f t="shared" si="24"/>
        <v>0</v>
      </c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</row>
    <row r="39" spans="2:52" hidden="1" x14ac:dyDescent="0.25">
      <c r="B39" s="154" t="s">
        <v>97</v>
      </c>
      <c r="C39" s="134" t="s">
        <v>98</v>
      </c>
      <c r="D39" s="135">
        <f t="shared" si="21"/>
        <v>0</v>
      </c>
      <c r="E39" s="136">
        <f t="shared" si="22"/>
        <v>0</v>
      </c>
      <c r="F39" s="137">
        <f t="shared" si="23"/>
        <v>0</v>
      </c>
      <c r="G39" s="135">
        <f>+K39+M39+O39+Q39+S39+U39+W39+Y39+AA39+AC39+AE39+AG39+AI39+AK39</f>
        <v>0</v>
      </c>
      <c r="H39" s="136">
        <f>+AM39+AO39+AQ39+AU39+AW39+AY39+AS39</f>
        <v>0</v>
      </c>
      <c r="I39" s="137">
        <f t="shared" si="24"/>
        <v>0</v>
      </c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</row>
    <row r="40" spans="2:52" x14ac:dyDescent="0.25">
      <c r="B40" s="154" t="s">
        <v>99</v>
      </c>
      <c r="C40" s="134" t="s">
        <v>100</v>
      </c>
      <c r="D40" s="135">
        <f t="shared" si="21"/>
        <v>6782000</v>
      </c>
      <c r="E40" s="136">
        <f t="shared" si="22"/>
        <v>0</v>
      </c>
      <c r="F40" s="137">
        <f t="shared" si="23"/>
        <v>6782000</v>
      </c>
      <c r="G40" s="135">
        <f>+K40+M40+O40+Q40+S40+U40+W40+Y40+AA40+AC40+AE40+AG40+AI40+AK40</f>
        <v>6893830</v>
      </c>
      <c r="H40" s="136">
        <f>+AM40+AO40+AQ40+AU40+AW40+AY40+AS40</f>
        <v>0</v>
      </c>
      <c r="I40" s="137">
        <f t="shared" si="24"/>
        <v>6893830</v>
      </c>
      <c r="J40" s="135"/>
      <c r="K40" s="135">
        <f>63780+48050</f>
        <v>111830</v>
      </c>
      <c r="L40" s="135"/>
      <c r="M40" s="135"/>
      <c r="N40" s="135">
        <v>1382000</v>
      </c>
      <c r="O40" s="135">
        <v>1382000</v>
      </c>
      <c r="P40" s="135"/>
      <c r="Q40" s="135"/>
      <c r="R40" s="135"/>
      <c r="S40" s="135"/>
      <c r="T40" s="135"/>
      <c r="U40" s="135"/>
      <c r="V40" s="135"/>
      <c r="W40" s="135"/>
      <c r="X40" s="135">
        <v>5400000</v>
      </c>
      <c r="Y40" s="135">
        <v>5400000</v>
      </c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263"/>
    </row>
    <row r="41" spans="2:52" s="140" customFormat="1" ht="12.75" x14ac:dyDescent="0.2">
      <c r="B41" s="155" t="s">
        <v>101</v>
      </c>
      <c r="C41" s="142" t="s">
        <v>102</v>
      </c>
      <c r="D41" s="143">
        <f t="shared" ref="D41:AS41" si="25">SUM(D34:D40)</f>
        <v>31900000</v>
      </c>
      <c r="E41" s="143">
        <f t="shared" si="25"/>
        <v>0</v>
      </c>
      <c r="F41" s="143">
        <f t="shared" si="25"/>
        <v>31900000</v>
      </c>
      <c r="G41" s="143">
        <f>SUM(G34:G40)</f>
        <v>32578900</v>
      </c>
      <c r="H41" s="143">
        <f>SUM(H34:H40)</f>
        <v>0</v>
      </c>
      <c r="I41" s="143">
        <f t="shared" si="25"/>
        <v>32578900</v>
      </c>
      <c r="J41" s="143">
        <f t="shared" si="25"/>
        <v>0</v>
      </c>
      <c r="K41" s="143">
        <f t="shared" si="25"/>
        <v>524900</v>
      </c>
      <c r="L41" s="143">
        <f t="shared" si="25"/>
        <v>0</v>
      </c>
      <c r="M41" s="143">
        <f t="shared" si="25"/>
        <v>0</v>
      </c>
      <c r="N41" s="143">
        <f t="shared" si="25"/>
        <v>6500000</v>
      </c>
      <c r="O41" s="143">
        <f t="shared" si="25"/>
        <v>6500000</v>
      </c>
      <c r="P41" s="143">
        <f t="shared" si="25"/>
        <v>0</v>
      </c>
      <c r="Q41" s="143">
        <f t="shared" si="25"/>
        <v>0</v>
      </c>
      <c r="R41" s="143">
        <f t="shared" si="25"/>
        <v>0</v>
      </c>
      <c r="S41" s="143">
        <f t="shared" si="25"/>
        <v>0</v>
      </c>
      <c r="T41" s="143">
        <f t="shared" si="25"/>
        <v>0</v>
      </c>
      <c r="U41" s="143">
        <f t="shared" si="25"/>
        <v>0</v>
      </c>
      <c r="V41" s="143">
        <f t="shared" si="25"/>
        <v>0</v>
      </c>
      <c r="W41" s="143">
        <f t="shared" si="25"/>
        <v>0</v>
      </c>
      <c r="X41" s="143">
        <f t="shared" si="25"/>
        <v>25400000</v>
      </c>
      <c r="Y41" s="143">
        <f t="shared" si="25"/>
        <v>25400000</v>
      </c>
      <c r="Z41" s="143">
        <f t="shared" si="25"/>
        <v>0</v>
      </c>
      <c r="AA41" s="143">
        <f t="shared" si="25"/>
        <v>154000</v>
      </c>
      <c r="AB41" s="143">
        <f t="shared" si="25"/>
        <v>0</v>
      </c>
      <c r="AC41" s="143">
        <f t="shared" si="25"/>
        <v>0</v>
      </c>
      <c r="AD41" s="143">
        <f t="shared" si="25"/>
        <v>0</v>
      </c>
      <c r="AE41" s="143">
        <f t="shared" si="25"/>
        <v>0</v>
      </c>
      <c r="AF41" s="143">
        <f t="shared" si="25"/>
        <v>0</v>
      </c>
      <c r="AG41" s="143">
        <f t="shared" si="25"/>
        <v>0</v>
      </c>
      <c r="AH41" s="143">
        <f t="shared" si="25"/>
        <v>0</v>
      </c>
      <c r="AI41" s="143">
        <f t="shared" si="25"/>
        <v>0</v>
      </c>
      <c r="AJ41" s="143">
        <f t="shared" si="25"/>
        <v>0</v>
      </c>
      <c r="AK41" s="143">
        <f t="shared" si="25"/>
        <v>0</v>
      </c>
      <c r="AL41" s="143">
        <f t="shared" si="25"/>
        <v>0</v>
      </c>
      <c r="AM41" s="143">
        <f t="shared" si="25"/>
        <v>0</v>
      </c>
      <c r="AN41" s="143">
        <f t="shared" si="25"/>
        <v>0</v>
      </c>
      <c r="AO41" s="143">
        <f t="shared" si="25"/>
        <v>0</v>
      </c>
      <c r="AP41" s="143">
        <f t="shared" si="25"/>
        <v>0</v>
      </c>
      <c r="AQ41" s="143">
        <f t="shared" si="25"/>
        <v>0</v>
      </c>
      <c r="AR41" s="143">
        <f t="shared" si="25"/>
        <v>0</v>
      </c>
      <c r="AS41" s="143">
        <f t="shared" si="25"/>
        <v>0</v>
      </c>
      <c r="AT41" s="143">
        <f t="shared" ref="AT41:AY41" si="26">SUM(AT34:AT40)</f>
        <v>0</v>
      </c>
      <c r="AU41" s="143">
        <f t="shared" si="26"/>
        <v>0</v>
      </c>
      <c r="AV41" s="143">
        <f t="shared" si="26"/>
        <v>0</v>
      </c>
      <c r="AW41" s="143">
        <f t="shared" si="26"/>
        <v>0</v>
      </c>
      <c r="AX41" s="143">
        <f t="shared" si="26"/>
        <v>0</v>
      </c>
      <c r="AY41" s="143">
        <f t="shared" si="26"/>
        <v>0</v>
      </c>
    </row>
    <row r="42" spans="2:52" x14ac:dyDescent="0.25">
      <c r="B42" s="156" t="s">
        <v>103</v>
      </c>
      <c r="C42" s="134" t="s">
        <v>104</v>
      </c>
      <c r="D42" s="135">
        <f>+J42+L42+N42+P42+R42+T42+V42+X42+Z42+AB42+AD42+AF42+AH42+AJ42</f>
        <v>0</v>
      </c>
      <c r="E42" s="136">
        <f>+AL42+AN42+AP42+AT42+AV42+AX42+AR42</f>
        <v>0</v>
      </c>
      <c r="F42" s="137">
        <f>+D42+E42</f>
        <v>0</v>
      </c>
      <c r="G42" s="135">
        <f>+K42+M42+O42+Q42+S42+U42+W42+Y42+AA42+AC42+AE42+AG42+AI42+AK42</f>
        <v>0</v>
      </c>
      <c r="H42" s="136">
        <f>+AM42+AO42+AQ42+AU42+AW42+AY42+AS42</f>
        <v>0</v>
      </c>
      <c r="I42" s="137">
        <f>+G42+H42</f>
        <v>0</v>
      </c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263"/>
    </row>
    <row r="43" spans="2:52" x14ac:dyDescent="0.25">
      <c r="B43" s="156" t="s">
        <v>105</v>
      </c>
      <c r="C43" s="134" t="s">
        <v>106</v>
      </c>
      <c r="D43" s="135">
        <f>+J43+L43+N43+P43+R43+T43+V43+X43+Z43+AB43+AD43+AF43+AH43+AJ43</f>
        <v>0</v>
      </c>
      <c r="E43" s="136">
        <f>+AL43+AN43+AP43+AT43+AV43+AX43+AR43</f>
        <v>0</v>
      </c>
      <c r="F43" s="137">
        <f>+D43+E43</f>
        <v>0</v>
      </c>
      <c r="G43" s="135">
        <f>+K43+M43+O43+Q43+S43+U43+W43+Y43+AA43+AC43+AE43+AG43+AI43+AK43</f>
        <v>0</v>
      </c>
      <c r="H43" s="136">
        <f>+AM43+AO43+AQ43+AU43+AW43+AY43+AS43</f>
        <v>0</v>
      </c>
      <c r="I43" s="137">
        <f>+G43+H43</f>
        <v>0</v>
      </c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</row>
    <row r="44" spans="2:52" x14ac:dyDescent="0.25">
      <c r="B44" s="156" t="s">
        <v>107</v>
      </c>
      <c r="C44" s="134" t="s">
        <v>108</v>
      </c>
      <c r="D44" s="135">
        <f>+J44+L44+N44+P44+R44+T44+V44+X44+Z44+AB44+AD44+AF44+AH44+AJ44</f>
        <v>0</v>
      </c>
      <c r="E44" s="136">
        <f>+AL44+AN44+AP44+AT44+AV44+AX44+AR44</f>
        <v>0</v>
      </c>
      <c r="F44" s="137">
        <f>+D44+E44</f>
        <v>0</v>
      </c>
      <c r="G44" s="135">
        <f>+K44+M44+O44+Q44+S44+U44+W44+Y44+AA44+AC44+AE44+AG44+AI44+AK44</f>
        <v>0</v>
      </c>
      <c r="H44" s="136">
        <f>+AM44+AO44+AQ44+AU44+AW44+AY44+AS44</f>
        <v>0</v>
      </c>
      <c r="I44" s="137">
        <f>+G44+H44</f>
        <v>0</v>
      </c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</row>
    <row r="45" spans="2:52" x14ac:dyDescent="0.25">
      <c r="B45" s="156" t="s">
        <v>109</v>
      </c>
      <c r="C45" s="134" t="s">
        <v>110</v>
      </c>
      <c r="D45" s="135">
        <f>+J45+L45+N45+P45+R45+T45+V45+X45+Z45+AB45+AD45+AF45+AH45+AJ45</f>
        <v>0</v>
      </c>
      <c r="E45" s="136">
        <f>+AL45+AN45+AP45+AT45+AV45+AX45+AR45</f>
        <v>0</v>
      </c>
      <c r="F45" s="137">
        <f>+D45+E45</f>
        <v>0</v>
      </c>
      <c r="G45" s="135">
        <f>+K45+M45+O45+Q45+S45+U45+W45+Y45+AA45+AC45+AE45+AG45+AI45+AK45</f>
        <v>0</v>
      </c>
      <c r="H45" s="136">
        <f>+AM45+AO45+AQ45+AU45+AW45+AY45+AS45</f>
        <v>0</v>
      </c>
      <c r="I45" s="137">
        <f>+G45+H45</f>
        <v>0</v>
      </c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263"/>
    </row>
    <row r="46" spans="2:52" s="140" customFormat="1" ht="12.75" x14ac:dyDescent="0.2">
      <c r="B46" s="144" t="s">
        <v>111</v>
      </c>
      <c r="C46" s="142" t="s">
        <v>112</v>
      </c>
      <c r="D46" s="143">
        <f t="shared" ref="D46:AI46" si="27">SUM(D42:D45)</f>
        <v>0</v>
      </c>
      <c r="E46" s="143">
        <f t="shared" si="27"/>
        <v>0</v>
      </c>
      <c r="F46" s="143">
        <f t="shared" si="27"/>
        <v>0</v>
      </c>
      <c r="G46" s="143">
        <f>SUM(G42:G45)</f>
        <v>0</v>
      </c>
      <c r="H46" s="143">
        <f>SUM(H42:H45)</f>
        <v>0</v>
      </c>
      <c r="I46" s="143">
        <f t="shared" si="27"/>
        <v>0</v>
      </c>
      <c r="J46" s="143">
        <f t="shared" si="27"/>
        <v>0</v>
      </c>
      <c r="K46" s="143">
        <f t="shared" si="27"/>
        <v>0</v>
      </c>
      <c r="L46" s="143">
        <f t="shared" si="27"/>
        <v>0</v>
      </c>
      <c r="M46" s="143">
        <f t="shared" si="27"/>
        <v>0</v>
      </c>
      <c r="N46" s="143">
        <f t="shared" si="27"/>
        <v>0</v>
      </c>
      <c r="O46" s="143">
        <f t="shared" si="27"/>
        <v>0</v>
      </c>
      <c r="P46" s="143">
        <f t="shared" si="27"/>
        <v>0</v>
      </c>
      <c r="Q46" s="143">
        <f t="shared" si="27"/>
        <v>0</v>
      </c>
      <c r="R46" s="143">
        <f t="shared" si="27"/>
        <v>0</v>
      </c>
      <c r="S46" s="143">
        <f t="shared" si="27"/>
        <v>0</v>
      </c>
      <c r="T46" s="143">
        <f t="shared" si="27"/>
        <v>0</v>
      </c>
      <c r="U46" s="143">
        <f t="shared" si="27"/>
        <v>0</v>
      </c>
      <c r="V46" s="143">
        <f t="shared" si="27"/>
        <v>0</v>
      </c>
      <c r="W46" s="143">
        <f t="shared" si="27"/>
        <v>0</v>
      </c>
      <c r="X46" s="143">
        <f t="shared" si="27"/>
        <v>0</v>
      </c>
      <c r="Y46" s="143">
        <f t="shared" si="27"/>
        <v>0</v>
      </c>
      <c r="Z46" s="143">
        <f t="shared" si="27"/>
        <v>0</v>
      </c>
      <c r="AA46" s="143">
        <f t="shared" si="27"/>
        <v>0</v>
      </c>
      <c r="AB46" s="143">
        <f t="shared" si="27"/>
        <v>0</v>
      </c>
      <c r="AC46" s="143">
        <f t="shared" si="27"/>
        <v>0</v>
      </c>
      <c r="AD46" s="143">
        <f t="shared" si="27"/>
        <v>0</v>
      </c>
      <c r="AE46" s="143">
        <f t="shared" si="27"/>
        <v>0</v>
      </c>
      <c r="AF46" s="143">
        <f t="shared" si="27"/>
        <v>0</v>
      </c>
      <c r="AG46" s="143">
        <f t="shared" si="27"/>
        <v>0</v>
      </c>
      <c r="AH46" s="143">
        <f t="shared" si="27"/>
        <v>0</v>
      </c>
      <c r="AI46" s="143">
        <f t="shared" si="27"/>
        <v>0</v>
      </c>
      <c r="AJ46" s="143">
        <f t="shared" ref="AJ46:AY46" si="28">SUM(AJ42:AJ45)</f>
        <v>0</v>
      </c>
      <c r="AK46" s="143">
        <f t="shared" si="28"/>
        <v>0</v>
      </c>
      <c r="AL46" s="143">
        <f t="shared" si="28"/>
        <v>0</v>
      </c>
      <c r="AM46" s="143">
        <f t="shared" si="28"/>
        <v>0</v>
      </c>
      <c r="AN46" s="143">
        <f t="shared" si="28"/>
        <v>0</v>
      </c>
      <c r="AO46" s="143">
        <f t="shared" si="28"/>
        <v>0</v>
      </c>
      <c r="AP46" s="143">
        <f t="shared" si="28"/>
        <v>0</v>
      </c>
      <c r="AQ46" s="143">
        <f t="shared" si="28"/>
        <v>0</v>
      </c>
      <c r="AR46" s="143">
        <f t="shared" si="28"/>
        <v>0</v>
      </c>
      <c r="AS46" s="143">
        <f t="shared" si="28"/>
        <v>0</v>
      </c>
      <c r="AT46" s="143">
        <f t="shared" si="28"/>
        <v>0</v>
      </c>
      <c r="AU46" s="143">
        <f t="shared" si="28"/>
        <v>0</v>
      </c>
      <c r="AV46" s="143">
        <f t="shared" si="28"/>
        <v>0</v>
      </c>
      <c r="AW46" s="143">
        <f t="shared" si="28"/>
        <v>0</v>
      </c>
      <c r="AX46" s="143">
        <f t="shared" si="28"/>
        <v>0</v>
      </c>
      <c r="AY46" s="143">
        <f t="shared" si="28"/>
        <v>0</v>
      </c>
    </row>
    <row r="47" spans="2:52" hidden="1" x14ac:dyDescent="0.25">
      <c r="B47" s="156" t="s">
        <v>567</v>
      </c>
      <c r="C47" s="134" t="s">
        <v>114</v>
      </c>
      <c r="D47" s="135">
        <f t="shared" ref="D47:D55" si="29">+J47+L47+N47+P47+R47+T47+V47+X47+Z47+AB47+AD47+AF47+AH47+AJ47</f>
        <v>0</v>
      </c>
      <c r="E47" s="136">
        <f t="shared" ref="E47:E55" si="30">+AL47+AN47+AP47+AT47+AV47+AX47+AR47</f>
        <v>0</v>
      </c>
      <c r="F47" s="137">
        <f t="shared" ref="F47:F55" si="31">+D47+E47</f>
        <v>0</v>
      </c>
      <c r="G47" s="135">
        <f t="shared" ref="G47:G55" si="32">+M47+O47+Q47+S47+U47+W47+Y47+AA47+AC47+AE47+AG47+AI47+AK47+AM47</f>
        <v>0</v>
      </c>
      <c r="H47" s="136">
        <f t="shared" ref="H47:H55" si="33">+AO47+AQ47+AS47+AW47+AY47+AZ47+AU47</f>
        <v>0</v>
      </c>
      <c r="I47" s="137">
        <f t="shared" ref="I47:I55" si="34">+G47+H47</f>
        <v>0</v>
      </c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</row>
    <row r="48" spans="2:52" hidden="1" x14ac:dyDescent="0.25">
      <c r="B48" s="156" t="s">
        <v>568</v>
      </c>
      <c r="C48" s="134" t="s">
        <v>116</v>
      </c>
      <c r="D48" s="135">
        <f t="shared" si="29"/>
        <v>0</v>
      </c>
      <c r="E48" s="136">
        <f t="shared" si="30"/>
        <v>0</v>
      </c>
      <c r="F48" s="137">
        <f t="shared" si="31"/>
        <v>0</v>
      </c>
      <c r="G48" s="135">
        <f t="shared" si="32"/>
        <v>0</v>
      </c>
      <c r="H48" s="136">
        <f t="shared" si="33"/>
        <v>0</v>
      </c>
      <c r="I48" s="137">
        <f t="shared" si="34"/>
        <v>0</v>
      </c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</row>
    <row r="49" spans="2:51" ht="15.75" hidden="1" customHeight="1" x14ac:dyDescent="0.25">
      <c r="B49" s="156" t="s">
        <v>569</v>
      </c>
      <c r="C49" s="134" t="s">
        <v>118</v>
      </c>
      <c r="D49" s="135">
        <f t="shared" si="29"/>
        <v>0</v>
      </c>
      <c r="E49" s="136">
        <f t="shared" si="30"/>
        <v>0</v>
      </c>
      <c r="F49" s="137">
        <f t="shared" si="31"/>
        <v>0</v>
      </c>
      <c r="G49" s="135">
        <f t="shared" si="32"/>
        <v>0</v>
      </c>
      <c r="H49" s="136">
        <f t="shared" si="33"/>
        <v>0</v>
      </c>
      <c r="I49" s="137">
        <f t="shared" si="34"/>
        <v>0</v>
      </c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</row>
    <row r="50" spans="2:51" hidden="1" x14ac:dyDescent="0.25">
      <c r="B50" s="156" t="s">
        <v>119</v>
      </c>
      <c r="C50" s="134" t="s">
        <v>120</v>
      </c>
      <c r="D50" s="135">
        <f t="shared" si="29"/>
        <v>0</v>
      </c>
      <c r="E50" s="136">
        <f t="shared" si="30"/>
        <v>0</v>
      </c>
      <c r="F50" s="137">
        <f t="shared" si="31"/>
        <v>0</v>
      </c>
      <c r="G50" s="135">
        <f t="shared" si="32"/>
        <v>0</v>
      </c>
      <c r="H50" s="136">
        <f t="shared" si="33"/>
        <v>0</v>
      </c>
      <c r="I50" s="137">
        <f t="shared" si="34"/>
        <v>0</v>
      </c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</row>
    <row r="51" spans="2:51" ht="15" hidden="1" customHeight="1" x14ac:dyDescent="0.25">
      <c r="B51" s="156" t="s">
        <v>570</v>
      </c>
      <c r="C51" s="134" t="s">
        <v>122</v>
      </c>
      <c r="D51" s="135">
        <f t="shared" si="29"/>
        <v>0</v>
      </c>
      <c r="E51" s="136">
        <f t="shared" si="30"/>
        <v>0</v>
      </c>
      <c r="F51" s="137">
        <f t="shared" si="31"/>
        <v>0</v>
      </c>
      <c r="G51" s="135">
        <f t="shared" si="32"/>
        <v>0</v>
      </c>
      <c r="H51" s="136">
        <f t="shared" si="33"/>
        <v>0</v>
      </c>
      <c r="I51" s="137">
        <f t="shared" si="34"/>
        <v>0</v>
      </c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</row>
    <row r="52" spans="2:51" hidden="1" x14ac:dyDescent="0.25">
      <c r="B52" s="156" t="s">
        <v>571</v>
      </c>
      <c r="C52" s="134" t="s">
        <v>124</v>
      </c>
      <c r="D52" s="135">
        <f t="shared" si="29"/>
        <v>0</v>
      </c>
      <c r="E52" s="136">
        <f t="shared" si="30"/>
        <v>0</v>
      </c>
      <c r="F52" s="137">
        <f t="shared" si="31"/>
        <v>0</v>
      </c>
      <c r="G52" s="135">
        <f t="shared" si="32"/>
        <v>0</v>
      </c>
      <c r="H52" s="136">
        <f t="shared" si="33"/>
        <v>0</v>
      </c>
      <c r="I52" s="137">
        <f t="shared" si="34"/>
        <v>0</v>
      </c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</row>
    <row r="53" spans="2:51" hidden="1" x14ac:dyDescent="0.25">
      <c r="B53" s="156" t="s">
        <v>125</v>
      </c>
      <c r="C53" s="134" t="s">
        <v>126</v>
      </c>
      <c r="D53" s="135">
        <f t="shared" si="29"/>
        <v>0</v>
      </c>
      <c r="E53" s="136">
        <f t="shared" si="30"/>
        <v>0</v>
      </c>
      <c r="F53" s="137">
        <f t="shared" si="31"/>
        <v>0</v>
      </c>
      <c r="G53" s="135">
        <f t="shared" si="32"/>
        <v>0</v>
      </c>
      <c r="H53" s="136">
        <f t="shared" si="33"/>
        <v>0</v>
      </c>
      <c r="I53" s="137">
        <f t="shared" si="34"/>
        <v>0</v>
      </c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</row>
    <row r="54" spans="2:51" hidden="1" x14ac:dyDescent="0.25">
      <c r="B54" s="156" t="s">
        <v>127</v>
      </c>
      <c r="C54" s="134" t="s">
        <v>128</v>
      </c>
      <c r="D54" s="135">
        <f t="shared" si="29"/>
        <v>0</v>
      </c>
      <c r="E54" s="136">
        <f t="shared" si="30"/>
        <v>0</v>
      </c>
      <c r="F54" s="137">
        <f t="shared" si="31"/>
        <v>0</v>
      </c>
      <c r="G54" s="135">
        <f t="shared" si="32"/>
        <v>0</v>
      </c>
      <c r="H54" s="136">
        <f t="shared" si="33"/>
        <v>0</v>
      </c>
      <c r="I54" s="137">
        <f t="shared" si="34"/>
        <v>0</v>
      </c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</row>
    <row r="55" spans="2:51" hidden="1" x14ac:dyDescent="0.25">
      <c r="B55" s="156" t="s">
        <v>129</v>
      </c>
      <c r="C55" s="134" t="s">
        <v>130</v>
      </c>
      <c r="D55" s="135">
        <f t="shared" si="29"/>
        <v>0</v>
      </c>
      <c r="E55" s="136">
        <f t="shared" si="30"/>
        <v>0</v>
      </c>
      <c r="F55" s="137">
        <f t="shared" si="31"/>
        <v>0</v>
      </c>
      <c r="G55" s="135">
        <f t="shared" si="32"/>
        <v>0</v>
      </c>
      <c r="H55" s="136">
        <f t="shared" si="33"/>
        <v>0</v>
      </c>
      <c r="I55" s="137">
        <f t="shared" si="34"/>
        <v>0</v>
      </c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>
        <v>0</v>
      </c>
      <c r="AR55" s="135"/>
      <c r="AS55" s="135"/>
      <c r="AT55" s="135"/>
      <c r="AU55" s="135"/>
      <c r="AV55" s="135"/>
      <c r="AW55" s="135"/>
      <c r="AX55" s="135"/>
      <c r="AY55" s="135"/>
    </row>
    <row r="56" spans="2:51" s="140" customFormat="1" ht="12.75" x14ac:dyDescent="0.2">
      <c r="B56" s="147" t="s">
        <v>131</v>
      </c>
      <c r="C56" s="142" t="s">
        <v>132</v>
      </c>
      <c r="D56" s="143">
        <f t="shared" ref="D56:AI56" si="35">SUM(D47:D55)</f>
        <v>0</v>
      </c>
      <c r="E56" s="143">
        <f t="shared" si="35"/>
        <v>0</v>
      </c>
      <c r="F56" s="143">
        <f t="shared" si="35"/>
        <v>0</v>
      </c>
      <c r="G56" s="143">
        <f>SUM(G47:G55)</f>
        <v>0</v>
      </c>
      <c r="H56" s="143">
        <f>SUM(H47:H55)</f>
        <v>0</v>
      </c>
      <c r="I56" s="143">
        <f t="shared" si="35"/>
        <v>0</v>
      </c>
      <c r="J56" s="143">
        <f t="shared" si="35"/>
        <v>0</v>
      </c>
      <c r="K56" s="143">
        <f t="shared" si="35"/>
        <v>0</v>
      </c>
      <c r="L56" s="143">
        <f t="shared" si="35"/>
        <v>0</v>
      </c>
      <c r="M56" s="143">
        <f t="shared" si="35"/>
        <v>0</v>
      </c>
      <c r="N56" s="143">
        <f t="shared" si="35"/>
        <v>0</v>
      </c>
      <c r="O56" s="143">
        <f t="shared" si="35"/>
        <v>0</v>
      </c>
      <c r="P56" s="143">
        <f t="shared" si="35"/>
        <v>0</v>
      </c>
      <c r="Q56" s="143">
        <f t="shared" si="35"/>
        <v>0</v>
      </c>
      <c r="R56" s="143">
        <f t="shared" si="35"/>
        <v>0</v>
      </c>
      <c r="S56" s="143">
        <f t="shared" si="35"/>
        <v>0</v>
      </c>
      <c r="T56" s="143">
        <f t="shared" si="35"/>
        <v>0</v>
      </c>
      <c r="U56" s="143">
        <f t="shared" si="35"/>
        <v>0</v>
      </c>
      <c r="V56" s="143">
        <f t="shared" si="35"/>
        <v>0</v>
      </c>
      <c r="W56" s="143">
        <f t="shared" si="35"/>
        <v>0</v>
      </c>
      <c r="X56" s="143">
        <f t="shared" si="35"/>
        <v>0</v>
      </c>
      <c r="Y56" s="143">
        <f t="shared" si="35"/>
        <v>0</v>
      </c>
      <c r="Z56" s="143">
        <f t="shared" si="35"/>
        <v>0</v>
      </c>
      <c r="AA56" s="143">
        <f t="shared" si="35"/>
        <v>0</v>
      </c>
      <c r="AB56" s="143">
        <f t="shared" si="35"/>
        <v>0</v>
      </c>
      <c r="AC56" s="143">
        <f t="shared" si="35"/>
        <v>0</v>
      </c>
      <c r="AD56" s="143">
        <f t="shared" si="35"/>
        <v>0</v>
      </c>
      <c r="AE56" s="143">
        <f t="shared" si="35"/>
        <v>0</v>
      </c>
      <c r="AF56" s="143">
        <f t="shared" si="35"/>
        <v>0</v>
      </c>
      <c r="AG56" s="143">
        <f t="shared" si="35"/>
        <v>0</v>
      </c>
      <c r="AH56" s="143">
        <f t="shared" si="35"/>
        <v>0</v>
      </c>
      <c r="AI56" s="143">
        <f t="shared" si="35"/>
        <v>0</v>
      </c>
      <c r="AJ56" s="143">
        <f t="shared" ref="AJ56:AY56" si="36">SUM(AJ47:AJ55)</f>
        <v>0</v>
      </c>
      <c r="AK56" s="143">
        <f t="shared" si="36"/>
        <v>0</v>
      </c>
      <c r="AL56" s="143">
        <f t="shared" si="36"/>
        <v>0</v>
      </c>
      <c r="AM56" s="143">
        <f t="shared" si="36"/>
        <v>0</v>
      </c>
      <c r="AN56" s="143">
        <f t="shared" si="36"/>
        <v>0</v>
      </c>
      <c r="AO56" s="143">
        <f t="shared" si="36"/>
        <v>0</v>
      </c>
      <c r="AP56" s="143">
        <f t="shared" si="36"/>
        <v>0</v>
      </c>
      <c r="AQ56" s="143">
        <f t="shared" si="36"/>
        <v>0</v>
      </c>
      <c r="AR56" s="143">
        <f t="shared" si="36"/>
        <v>0</v>
      </c>
      <c r="AS56" s="143">
        <f t="shared" si="36"/>
        <v>0</v>
      </c>
      <c r="AT56" s="143">
        <f t="shared" si="36"/>
        <v>0</v>
      </c>
      <c r="AU56" s="143">
        <f t="shared" si="36"/>
        <v>0</v>
      </c>
      <c r="AV56" s="143">
        <f t="shared" si="36"/>
        <v>0</v>
      </c>
      <c r="AW56" s="143">
        <f t="shared" si="36"/>
        <v>0</v>
      </c>
      <c r="AX56" s="143">
        <f t="shared" si="36"/>
        <v>0</v>
      </c>
      <c r="AY56" s="143">
        <f t="shared" si="36"/>
        <v>0</v>
      </c>
    </row>
    <row r="57" spans="2:51" x14ac:dyDescent="0.25">
      <c r="B57" s="150" t="s">
        <v>133</v>
      </c>
      <c r="C57" s="151" t="s">
        <v>134</v>
      </c>
      <c r="D57" s="152">
        <f t="shared" ref="D57:K57" si="37">+D56+D46+D41</f>
        <v>31900000</v>
      </c>
      <c r="E57" s="152">
        <f t="shared" si="37"/>
        <v>0</v>
      </c>
      <c r="F57" s="152">
        <f t="shared" si="37"/>
        <v>31900000</v>
      </c>
      <c r="G57" s="152">
        <f>+G56+G46+G41</f>
        <v>32578900</v>
      </c>
      <c r="H57" s="152">
        <f>+H56+H46+H41</f>
        <v>0</v>
      </c>
      <c r="I57" s="152">
        <f t="shared" si="37"/>
        <v>32578900</v>
      </c>
      <c r="J57" s="152">
        <f t="shared" si="37"/>
        <v>0</v>
      </c>
      <c r="K57" s="152">
        <f t="shared" si="37"/>
        <v>524900</v>
      </c>
      <c r="L57" s="152">
        <f t="shared" ref="L57:AY57" si="38">+L56+L46+L41</f>
        <v>0</v>
      </c>
      <c r="M57" s="152">
        <f t="shared" si="38"/>
        <v>0</v>
      </c>
      <c r="N57" s="152">
        <f t="shared" si="38"/>
        <v>6500000</v>
      </c>
      <c r="O57" s="152">
        <f t="shared" si="38"/>
        <v>6500000</v>
      </c>
      <c r="P57" s="152">
        <f t="shared" si="38"/>
        <v>0</v>
      </c>
      <c r="Q57" s="152">
        <f t="shared" si="38"/>
        <v>0</v>
      </c>
      <c r="R57" s="152">
        <f t="shared" si="38"/>
        <v>0</v>
      </c>
      <c r="S57" s="152">
        <f t="shared" si="38"/>
        <v>0</v>
      </c>
      <c r="T57" s="152">
        <f t="shared" si="38"/>
        <v>0</v>
      </c>
      <c r="U57" s="152">
        <f t="shared" si="38"/>
        <v>0</v>
      </c>
      <c r="V57" s="152">
        <f t="shared" si="38"/>
        <v>0</v>
      </c>
      <c r="W57" s="152">
        <f t="shared" si="38"/>
        <v>0</v>
      </c>
      <c r="X57" s="152">
        <f t="shared" si="38"/>
        <v>25400000</v>
      </c>
      <c r="Y57" s="152">
        <f t="shared" si="38"/>
        <v>25400000</v>
      </c>
      <c r="Z57" s="152">
        <f t="shared" si="38"/>
        <v>0</v>
      </c>
      <c r="AA57" s="152">
        <f t="shared" si="38"/>
        <v>154000</v>
      </c>
      <c r="AB57" s="152">
        <f t="shared" si="38"/>
        <v>0</v>
      </c>
      <c r="AC57" s="152">
        <f t="shared" si="38"/>
        <v>0</v>
      </c>
      <c r="AD57" s="152">
        <f t="shared" si="38"/>
        <v>0</v>
      </c>
      <c r="AE57" s="152">
        <f t="shared" si="38"/>
        <v>0</v>
      </c>
      <c r="AF57" s="152">
        <f t="shared" si="38"/>
        <v>0</v>
      </c>
      <c r="AG57" s="152">
        <f t="shared" si="38"/>
        <v>0</v>
      </c>
      <c r="AH57" s="152">
        <f t="shared" si="38"/>
        <v>0</v>
      </c>
      <c r="AI57" s="152">
        <f t="shared" si="38"/>
        <v>0</v>
      </c>
      <c r="AJ57" s="152">
        <f t="shared" si="38"/>
        <v>0</v>
      </c>
      <c r="AK57" s="152">
        <f t="shared" si="38"/>
        <v>0</v>
      </c>
      <c r="AL57" s="152">
        <f t="shared" si="38"/>
        <v>0</v>
      </c>
      <c r="AM57" s="152">
        <f t="shared" si="38"/>
        <v>0</v>
      </c>
      <c r="AN57" s="152">
        <f t="shared" si="38"/>
        <v>0</v>
      </c>
      <c r="AO57" s="152">
        <f t="shared" si="38"/>
        <v>0</v>
      </c>
      <c r="AP57" s="152">
        <f t="shared" si="38"/>
        <v>0</v>
      </c>
      <c r="AQ57" s="152">
        <f t="shared" si="38"/>
        <v>0</v>
      </c>
      <c r="AR57" s="152">
        <f t="shared" si="38"/>
        <v>0</v>
      </c>
      <c r="AS57" s="152">
        <f t="shared" si="38"/>
        <v>0</v>
      </c>
      <c r="AT57" s="152">
        <f t="shared" si="38"/>
        <v>0</v>
      </c>
      <c r="AU57" s="152">
        <f t="shared" si="38"/>
        <v>0</v>
      </c>
      <c r="AV57" s="152">
        <f t="shared" si="38"/>
        <v>0</v>
      </c>
      <c r="AW57" s="152">
        <f t="shared" si="38"/>
        <v>0</v>
      </c>
      <c r="AX57" s="152">
        <f t="shared" si="38"/>
        <v>0</v>
      </c>
      <c r="AY57" s="152">
        <f t="shared" si="38"/>
        <v>0</v>
      </c>
    </row>
    <row r="58" spans="2:51" x14ac:dyDescent="0.25">
      <c r="B58" s="157" t="s">
        <v>135</v>
      </c>
      <c r="C58" s="158" t="s">
        <v>136</v>
      </c>
      <c r="D58" s="159">
        <f t="shared" ref="D58:K58" si="39">+D56+D46+D41+D32+D17+D16+D10+D9</f>
        <v>304307996</v>
      </c>
      <c r="E58" s="159">
        <f t="shared" si="39"/>
        <v>33400000</v>
      </c>
      <c r="F58" s="159">
        <f t="shared" si="39"/>
        <v>337707996</v>
      </c>
      <c r="G58" s="159">
        <f>+G56+G46+G41+G32+G17+G16+G10+G9</f>
        <v>314467085</v>
      </c>
      <c r="H58" s="159">
        <f>+H56+H46+H41+H32+H17+H16+H10+H9</f>
        <v>33441400</v>
      </c>
      <c r="I58" s="159">
        <f t="shared" si="39"/>
        <v>347908485</v>
      </c>
      <c r="J58" s="159">
        <f t="shared" si="39"/>
        <v>103895496</v>
      </c>
      <c r="K58" s="159">
        <f t="shared" si="39"/>
        <v>113900585</v>
      </c>
      <c r="L58" s="159">
        <f t="shared" ref="L58:AY58" si="40">+L56+L46+L41+L32+L17+L16+L10+L9</f>
        <v>16400000</v>
      </c>
      <c r="M58" s="159">
        <f t="shared" si="40"/>
        <v>16400000</v>
      </c>
      <c r="N58" s="159">
        <f t="shared" si="40"/>
        <v>6500000</v>
      </c>
      <c r="O58" s="159">
        <f t="shared" si="40"/>
        <v>6500000</v>
      </c>
      <c r="P58" s="159">
        <f t="shared" si="40"/>
        <v>0</v>
      </c>
      <c r="Q58" s="159">
        <f t="shared" si="40"/>
        <v>0</v>
      </c>
      <c r="R58" s="159">
        <f t="shared" si="40"/>
        <v>21844000</v>
      </c>
      <c r="S58" s="159">
        <f t="shared" si="40"/>
        <v>21844000</v>
      </c>
      <c r="T58" s="159">
        <f t="shared" si="40"/>
        <v>10859000</v>
      </c>
      <c r="U58" s="159">
        <f t="shared" si="40"/>
        <v>10859000</v>
      </c>
      <c r="V58" s="159">
        <f t="shared" si="40"/>
        <v>5080000</v>
      </c>
      <c r="W58" s="159">
        <f t="shared" si="40"/>
        <v>5080000</v>
      </c>
      <c r="X58" s="159">
        <f t="shared" si="40"/>
        <v>37908500</v>
      </c>
      <c r="Y58" s="159">
        <f t="shared" si="40"/>
        <v>37908500</v>
      </c>
      <c r="Z58" s="159">
        <f t="shared" si="40"/>
        <v>45339000</v>
      </c>
      <c r="AA58" s="159">
        <f t="shared" si="40"/>
        <v>45493000</v>
      </c>
      <c r="AB58" s="159">
        <f t="shared" si="40"/>
        <v>49428000</v>
      </c>
      <c r="AC58" s="159">
        <f t="shared" si="40"/>
        <v>49428000</v>
      </c>
      <c r="AD58" s="159">
        <f t="shared" si="40"/>
        <v>3356000</v>
      </c>
      <c r="AE58" s="159">
        <f t="shared" si="40"/>
        <v>3356000</v>
      </c>
      <c r="AF58" s="159">
        <f t="shared" si="40"/>
        <v>711000</v>
      </c>
      <c r="AG58" s="159">
        <f t="shared" si="40"/>
        <v>711000</v>
      </c>
      <c r="AH58" s="159">
        <f t="shared" si="40"/>
        <v>737000</v>
      </c>
      <c r="AI58" s="159">
        <f t="shared" si="40"/>
        <v>737000</v>
      </c>
      <c r="AJ58" s="159">
        <f t="shared" si="40"/>
        <v>2250000</v>
      </c>
      <c r="AK58" s="159">
        <f t="shared" si="40"/>
        <v>2250000</v>
      </c>
      <c r="AL58" s="159">
        <f t="shared" si="40"/>
        <v>16000000</v>
      </c>
      <c r="AM58" s="159">
        <f t="shared" si="40"/>
        <v>16000000</v>
      </c>
      <c r="AN58" s="159">
        <f t="shared" si="40"/>
        <v>0</v>
      </c>
      <c r="AO58" s="159">
        <f t="shared" si="40"/>
        <v>0</v>
      </c>
      <c r="AP58" s="159">
        <f t="shared" si="40"/>
        <v>13000000</v>
      </c>
      <c r="AQ58" s="159">
        <f t="shared" si="40"/>
        <v>13041400</v>
      </c>
      <c r="AR58" s="159">
        <f t="shared" si="40"/>
        <v>0</v>
      </c>
      <c r="AS58" s="159">
        <f t="shared" si="40"/>
        <v>0</v>
      </c>
      <c r="AT58" s="159">
        <f t="shared" si="40"/>
        <v>2000000</v>
      </c>
      <c r="AU58" s="159">
        <f t="shared" si="40"/>
        <v>2000000</v>
      </c>
      <c r="AV58" s="159">
        <f t="shared" si="40"/>
        <v>1800000</v>
      </c>
      <c r="AW58" s="159">
        <f t="shared" si="40"/>
        <v>1800000</v>
      </c>
      <c r="AX58" s="159">
        <f t="shared" si="40"/>
        <v>600000</v>
      </c>
      <c r="AY58" s="159">
        <f t="shared" si="40"/>
        <v>600000</v>
      </c>
    </row>
    <row r="59" spans="2:51" hidden="1" x14ac:dyDescent="0.25">
      <c r="B59" s="160" t="s">
        <v>572</v>
      </c>
      <c r="C59" s="139" t="s">
        <v>162</v>
      </c>
      <c r="D59" s="135">
        <f>+J59+L59+N59+P59+R59+T59+V59+X59+Z59+AB59+AD59+AF59+AH59+AJ59</f>
        <v>0</v>
      </c>
      <c r="E59" s="136">
        <f>+AL59+AN59+AP59+AT59+AV59+AX59+AR59</f>
        <v>0</v>
      </c>
      <c r="F59" s="137">
        <f>+D59+E59</f>
        <v>0</v>
      </c>
      <c r="G59" s="135">
        <f>+M59+O59+Q59+S59+U59+W59+Y59+AA59+AC59+AE59+AG59+AI59+AK59+AM59</f>
        <v>0</v>
      </c>
      <c r="H59" s="136">
        <f>+AO59+AQ59+AS59+AW59+AY59+AZ59+AU59</f>
        <v>0</v>
      </c>
      <c r="I59" s="137">
        <f t="shared" ref="I59:I62" si="41">+G59+H59</f>
        <v>0</v>
      </c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</row>
    <row r="60" spans="2:51" hidden="1" x14ac:dyDescent="0.25">
      <c r="B60" s="160" t="s">
        <v>163</v>
      </c>
      <c r="C60" s="139" t="s">
        <v>164</v>
      </c>
      <c r="D60" s="135">
        <f>+J60+L60+N60+P60+R60+T60+V60+X60+Z60+AB60+AD60+AF60+AH60+AJ60</f>
        <v>0</v>
      </c>
      <c r="E60" s="136">
        <f>+AL60+AN60+AP60+AT60+AV60+AX60+AR60</f>
        <v>0</v>
      </c>
      <c r="F60" s="137">
        <f>+D60+E60</f>
        <v>0</v>
      </c>
      <c r="G60" s="135">
        <f>+M60+O60+Q60+S60+U60+W60+Y60+AA60+AC60+AE60+AG60+AI60+AK60+AM60</f>
        <v>0</v>
      </c>
      <c r="H60" s="136">
        <f>+AO60+AQ60+AS60+AW60+AY60+AZ60+AU60</f>
        <v>0</v>
      </c>
      <c r="I60" s="137">
        <f t="shared" si="41"/>
        <v>0</v>
      </c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</row>
    <row r="61" spans="2:51" hidden="1" x14ac:dyDescent="0.25">
      <c r="B61" s="156" t="s">
        <v>165</v>
      </c>
      <c r="C61" s="139" t="s">
        <v>166</v>
      </c>
      <c r="D61" s="135">
        <f>+J61+L61+N61+P61+R61+T61+V61+X61+Z61+AB61+AD61+AF61+AH61+AJ61</f>
        <v>0</v>
      </c>
      <c r="E61" s="136">
        <f>+AL61+AN61+AP61+AT61+AV61+AX61+AR61</f>
        <v>0</v>
      </c>
      <c r="F61" s="137">
        <f>+D61+E61</f>
        <v>0</v>
      </c>
      <c r="G61" s="135">
        <f>+M61+O61+Q61+S61+U61+W61+Y61+AA61+AC61+AE61+AG61+AI61+AK61+AM61</f>
        <v>0</v>
      </c>
      <c r="H61" s="136">
        <f>+AO61+AQ61+AS61+AW61+AY61+AZ61+AU61</f>
        <v>0</v>
      </c>
      <c r="I61" s="137">
        <f t="shared" si="41"/>
        <v>0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</row>
    <row r="62" spans="2:51" hidden="1" x14ac:dyDescent="0.25">
      <c r="B62" s="156" t="s">
        <v>167</v>
      </c>
      <c r="C62" s="139" t="s">
        <v>168</v>
      </c>
      <c r="D62" s="135">
        <f>+J62+L62+N62+P62+R62+T62+V62+X62+Z62+AB62+AD62+AF62+AH62+AJ62</f>
        <v>0</v>
      </c>
      <c r="E62" s="136">
        <f>+AL62+AN62+AP62+AT62+AV62+AX62+AR62</f>
        <v>0</v>
      </c>
      <c r="F62" s="137">
        <f>+D62+E62</f>
        <v>0</v>
      </c>
      <c r="G62" s="135">
        <f>+M62+O62+Q62+S62+U62+W62+Y62+AA62+AC62+AE62+AG62+AI62+AK62+AM62</f>
        <v>0</v>
      </c>
      <c r="H62" s="136">
        <f>+AO62+AQ62+AS62+AW62+AY62+AZ62+AU62</f>
        <v>0</v>
      </c>
      <c r="I62" s="137">
        <f t="shared" si="41"/>
        <v>0</v>
      </c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</row>
    <row r="63" spans="2:51" x14ac:dyDescent="0.25">
      <c r="B63" s="163" t="s">
        <v>169</v>
      </c>
      <c r="C63" s="164" t="s">
        <v>170</v>
      </c>
      <c r="D63" s="165">
        <f t="shared" ref="D63:I63" si="42">+D61+D60+D59+D62</f>
        <v>0</v>
      </c>
      <c r="E63" s="165">
        <f t="shared" si="42"/>
        <v>0</v>
      </c>
      <c r="F63" s="165">
        <f t="shared" si="42"/>
        <v>0</v>
      </c>
      <c r="G63" s="165">
        <f>+G61+G60+G59+G62</f>
        <v>0</v>
      </c>
      <c r="H63" s="165">
        <f>+H61+H60+H59+H62</f>
        <v>0</v>
      </c>
      <c r="I63" s="165">
        <f t="shared" si="42"/>
        <v>0</v>
      </c>
      <c r="J63" s="165">
        <f t="shared" ref="J63:AY63" si="43">+J61+J60+J59</f>
        <v>0</v>
      </c>
      <c r="K63" s="165">
        <f t="shared" si="43"/>
        <v>0</v>
      </c>
      <c r="L63" s="165">
        <f t="shared" si="43"/>
        <v>0</v>
      </c>
      <c r="M63" s="165">
        <f t="shared" si="43"/>
        <v>0</v>
      </c>
      <c r="N63" s="165">
        <f t="shared" si="43"/>
        <v>0</v>
      </c>
      <c r="O63" s="165">
        <f t="shared" si="43"/>
        <v>0</v>
      </c>
      <c r="P63" s="165">
        <f t="shared" si="43"/>
        <v>0</v>
      </c>
      <c r="Q63" s="165">
        <f t="shared" si="43"/>
        <v>0</v>
      </c>
      <c r="R63" s="165">
        <f t="shared" si="43"/>
        <v>0</v>
      </c>
      <c r="S63" s="165">
        <f t="shared" si="43"/>
        <v>0</v>
      </c>
      <c r="T63" s="165">
        <f t="shared" si="43"/>
        <v>0</v>
      </c>
      <c r="U63" s="165">
        <f t="shared" si="43"/>
        <v>0</v>
      </c>
      <c r="V63" s="165">
        <f t="shared" si="43"/>
        <v>0</v>
      </c>
      <c r="W63" s="165">
        <f t="shared" si="43"/>
        <v>0</v>
      </c>
      <c r="X63" s="165">
        <f t="shared" si="43"/>
        <v>0</v>
      </c>
      <c r="Y63" s="165">
        <f t="shared" si="43"/>
        <v>0</v>
      </c>
      <c r="Z63" s="165">
        <f t="shared" si="43"/>
        <v>0</v>
      </c>
      <c r="AA63" s="165">
        <f t="shared" si="43"/>
        <v>0</v>
      </c>
      <c r="AB63" s="165">
        <f t="shared" si="43"/>
        <v>0</v>
      </c>
      <c r="AC63" s="165">
        <f t="shared" si="43"/>
        <v>0</v>
      </c>
      <c r="AD63" s="165">
        <f t="shared" si="43"/>
        <v>0</v>
      </c>
      <c r="AE63" s="165">
        <f t="shared" si="43"/>
        <v>0</v>
      </c>
      <c r="AF63" s="165">
        <f t="shared" si="43"/>
        <v>0</v>
      </c>
      <c r="AG63" s="165">
        <f t="shared" si="43"/>
        <v>0</v>
      </c>
      <c r="AH63" s="165">
        <f t="shared" si="43"/>
        <v>0</v>
      </c>
      <c r="AI63" s="165">
        <f t="shared" si="43"/>
        <v>0</v>
      </c>
      <c r="AJ63" s="165">
        <f t="shared" si="43"/>
        <v>0</v>
      </c>
      <c r="AK63" s="165">
        <f t="shared" si="43"/>
        <v>0</v>
      </c>
      <c r="AL63" s="165">
        <f t="shared" si="43"/>
        <v>0</v>
      </c>
      <c r="AM63" s="165">
        <f t="shared" si="43"/>
        <v>0</v>
      </c>
      <c r="AN63" s="165">
        <f t="shared" si="43"/>
        <v>0</v>
      </c>
      <c r="AO63" s="165">
        <f t="shared" si="43"/>
        <v>0</v>
      </c>
      <c r="AP63" s="165">
        <f t="shared" si="43"/>
        <v>0</v>
      </c>
      <c r="AQ63" s="165">
        <f t="shared" si="43"/>
        <v>0</v>
      </c>
      <c r="AR63" s="165">
        <f t="shared" si="43"/>
        <v>0</v>
      </c>
      <c r="AS63" s="165">
        <f t="shared" si="43"/>
        <v>0</v>
      </c>
      <c r="AT63" s="165">
        <f t="shared" si="43"/>
        <v>0</v>
      </c>
      <c r="AU63" s="165">
        <f t="shared" si="43"/>
        <v>0</v>
      </c>
      <c r="AV63" s="165">
        <f t="shared" si="43"/>
        <v>0</v>
      </c>
      <c r="AW63" s="165">
        <f t="shared" si="43"/>
        <v>0</v>
      </c>
      <c r="AX63" s="165">
        <f t="shared" si="43"/>
        <v>0</v>
      </c>
      <c r="AY63" s="165">
        <f t="shared" si="43"/>
        <v>0</v>
      </c>
    </row>
    <row r="64" spans="2:51" x14ac:dyDescent="0.25">
      <c r="B64" s="166" t="s">
        <v>171</v>
      </c>
      <c r="C64" s="166" t="s">
        <v>172</v>
      </c>
      <c r="D64" s="167">
        <f t="shared" ref="D64:I64" si="44">+D58+D63</f>
        <v>304307996</v>
      </c>
      <c r="E64" s="167">
        <f t="shared" si="44"/>
        <v>33400000</v>
      </c>
      <c r="F64" s="167">
        <f t="shared" si="44"/>
        <v>337707996</v>
      </c>
      <c r="G64" s="167">
        <f t="shared" si="44"/>
        <v>314467085</v>
      </c>
      <c r="H64" s="167">
        <f t="shared" si="44"/>
        <v>33441400</v>
      </c>
      <c r="I64" s="167">
        <f t="shared" si="44"/>
        <v>347908485</v>
      </c>
      <c r="J64" s="167">
        <f t="shared" ref="J64:AY64" si="45">+J58+J63</f>
        <v>103895496</v>
      </c>
      <c r="K64" s="167">
        <f t="shared" si="45"/>
        <v>113900585</v>
      </c>
      <c r="L64" s="167">
        <f t="shared" si="45"/>
        <v>16400000</v>
      </c>
      <c r="M64" s="167">
        <f t="shared" si="45"/>
        <v>16400000</v>
      </c>
      <c r="N64" s="167">
        <f t="shared" si="45"/>
        <v>6500000</v>
      </c>
      <c r="O64" s="167">
        <f t="shared" si="45"/>
        <v>6500000</v>
      </c>
      <c r="P64" s="167">
        <f t="shared" si="45"/>
        <v>0</v>
      </c>
      <c r="Q64" s="167">
        <f t="shared" si="45"/>
        <v>0</v>
      </c>
      <c r="R64" s="167">
        <f t="shared" si="45"/>
        <v>21844000</v>
      </c>
      <c r="S64" s="167">
        <f t="shared" si="45"/>
        <v>21844000</v>
      </c>
      <c r="T64" s="167">
        <f t="shared" si="45"/>
        <v>10859000</v>
      </c>
      <c r="U64" s="167">
        <f t="shared" si="45"/>
        <v>10859000</v>
      </c>
      <c r="V64" s="167">
        <f t="shared" si="45"/>
        <v>5080000</v>
      </c>
      <c r="W64" s="167">
        <f t="shared" si="45"/>
        <v>5080000</v>
      </c>
      <c r="X64" s="167">
        <f t="shared" si="45"/>
        <v>37908500</v>
      </c>
      <c r="Y64" s="167">
        <f t="shared" si="45"/>
        <v>37908500</v>
      </c>
      <c r="Z64" s="167">
        <f t="shared" si="45"/>
        <v>45339000</v>
      </c>
      <c r="AA64" s="167">
        <f t="shared" si="45"/>
        <v>45493000</v>
      </c>
      <c r="AB64" s="167">
        <f t="shared" si="45"/>
        <v>49428000</v>
      </c>
      <c r="AC64" s="167">
        <f t="shared" si="45"/>
        <v>49428000</v>
      </c>
      <c r="AD64" s="167">
        <f t="shared" si="45"/>
        <v>3356000</v>
      </c>
      <c r="AE64" s="167">
        <f t="shared" si="45"/>
        <v>3356000</v>
      </c>
      <c r="AF64" s="167">
        <f t="shared" si="45"/>
        <v>711000</v>
      </c>
      <c r="AG64" s="167">
        <f t="shared" si="45"/>
        <v>711000</v>
      </c>
      <c r="AH64" s="167">
        <f t="shared" si="45"/>
        <v>737000</v>
      </c>
      <c r="AI64" s="167">
        <f t="shared" si="45"/>
        <v>737000</v>
      </c>
      <c r="AJ64" s="167">
        <f t="shared" si="45"/>
        <v>2250000</v>
      </c>
      <c r="AK64" s="167">
        <f t="shared" si="45"/>
        <v>2250000</v>
      </c>
      <c r="AL64" s="167">
        <f t="shared" si="45"/>
        <v>16000000</v>
      </c>
      <c r="AM64" s="167">
        <f t="shared" si="45"/>
        <v>16000000</v>
      </c>
      <c r="AN64" s="167">
        <f t="shared" si="45"/>
        <v>0</v>
      </c>
      <c r="AO64" s="167">
        <f t="shared" si="45"/>
        <v>0</v>
      </c>
      <c r="AP64" s="167">
        <f t="shared" si="45"/>
        <v>13000000</v>
      </c>
      <c r="AQ64" s="167">
        <f t="shared" si="45"/>
        <v>13041400</v>
      </c>
      <c r="AR64" s="167">
        <f t="shared" si="45"/>
        <v>0</v>
      </c>
      <c r="AS64" s="167">
        <f t="shared" si="45"/>
        <v>0</v>
      </c>
      <c r="AT64" s="167">
        <f t="shared" si="45"/>
        <v>2000000</v>
      </c>
      <c r="AU64" s="167">
        <f t="shared" si="45"/>
        <v>2000000</v>
      </c>
      <c r="AV64" s="167">
        <f t="shared" si="45"/>
        <v>1800000</v>
      </c>
      <c r="AW64" s="167">
        <f t="shared" si="45"/>
        <v>1800000</v>
      </c>
      <c r="AX64" s="167">
        <f t="shared" si="45"/>
        <v>600000</v>
      </c>
      <c r="AY64" s="167">
        <f t="shared" si="45"/>
        <v>600000</v>
      </c>
    </row>
    <row r="65" spans="2:52" s="122" customFormat="1" ht="12.75" x14ac:dyDescent="0.2">
      <c r="B65" s="168"/>
      <c r="C65" s="168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</row>
    <row r="66" spans="2:52" s="128" customFormat="1" ht="13.5" customHeight="1" x14ac:dyDescent="0.2">
      <c r="B66" s="129"/>
      <c r="J66" s="591"/>
      <c r="K66" s="591"/>
      <c r="L66" s="591"/>
      <c r="M66" s="591"/>
      <c r="N66" s="591"/>
      <c r="R66" s="122"/>
      <c r="S66" s="122"/>
      <c r="T66" s="122"/>
      <c r="U66" s="122"/>
      <c r="V66" s="122"/>
      <c r="W66" s="122"/>
      <c r="Z66" s="122"/>
      <c r="AA66" s="122"/>
      <c r="AB66" s="122"/>
      <c r="AC66" s="122"/>
      <c r="AD66" s="122"/>
      <c r="AE66" s="122"/>
      <c r="AH66" s="122"/>
      <c r="AI66" s="122"/>
      <c r="AJ66" s="122"/>
      <c r="AK66" s="122"/>
      <c r="AL66" s="591"/>
      <c r="AM66" s="591"/>
      <c r="AN66" s="591"/>
      <c r="AP66" s="591"/>
      <c r="AQ66" s="591"/>
      <c r="AR66" s="591"/>
      <c r="AS66" s="591"/>
      <c r="AT66" s="591"/>
      <c r="AU66" s="591"/>
      <c r="AV66" s="591"/>
      <c r="AW66" s="591"/>
      <c r="AX66" s="591"/>
    </row>
    <row r="67" spans="2:52" s="131" customFormat="1" ht="90" hidden="1" customHeight="1" x14ac:dyDescent="0.25">
      <c r="B67" s="112" t="s">
        <v>8</v>
      </c>
      <c r="C67" s="113" t="s">
        <v>33</v>
      </c>
      <c r="D67" s="132" t="s">
        <v>537</v>
      </c>
      <c r="E67" s="132" t="s">
        <v>538</v>
      </c>
      <c r="F67" s="113" t="s">
        <v>539</v>
      </c>
      <c r="G67" s="132" t="s">
        <v>537</v>
      </c>
      <c r="H67" s="132" t="s">
        <v>538</v>
      </c>
      <c r="I67" s="113" t="s">
        <v>539</v>
      </c>
      <c r="J67" s="594" t="s">
        <v>540</v>
      </c>
      <c r="K67" s="594"/>
      <c r="L67" s="594" t="s">
        <v>541</v>
      </c>
      <c r="M67" s="594"/>
      <c r="N67" s="594" t="s">
        <v>542</v>
      </c>
      <c r="O67" s="594"/>
      <c r="P67" s="594" t="s">
        <v>543</v>
      </c>
      <c r="Q67" s="594"/>
      <c r="R67" s="594" t="s">
        <v>544</v>
      </c>
      <c r="S67" s="594"/>
      <c r="T67" s="594" t="s">
        <v>545</v>
      </c>
      <c r="U67" s="594"/>
      <c r="V67" s="594" t="s">
        <v>546</v>
      </c>
      <c r="W67" s="594"/>
      <c r="X67" s="594" t="s">
        <v>547</v>
      </c>
      <c r="Y67" s="594"/>
      <c r="Z67" s="594" t="s">
        <v>548</v>
      </c>
      <c r="AA67" s="594"/>
      <c r="AB67" s="594" t="s">
        <v>549</v>
      </c>
      <c r="AC67" s="594"/>
      <c r="AD67" s="594" t="s">
        <v>550</v>
      </c>
      <c r="AE67" s="594"/>
      <c r="AF67" s="594" t="s">
        <v>551</v>
      </c>
      <c r="AG67" s="594"/>
      <c r="AH67" s="594" t="s">
        <v>552</v>
      </c>
      <c r="AI67" s="594"/>
      <c r="AJ67" s="594" t="s">
        <v>553</v>
      </c>
      <c r="AK67" s="594"/>
      <c r="AL67" s="594" t="s">
        <v>554</v>
      </c>
      <c r="AM67" s="594"/>
      <c r="AN67" s="594" t="s">
        <v>555</v>
      </c>
      <c r="AO67" s="594"/>
      <c r="AP67" s="594" t="s">
        <v>556</v>
      </c>
      <c r="AQ67" s="594"/>
      <c r="AR67" s="594" t="s">
        <v>557</v>
      </c>
      <c r="AS67" s="594"/>
      <c r="AT67" s="594" t="s">
        <v>558</v>
      </c>
      <c r="AU67" s="594"/>
      <c r="AV67" s="594" t="s">
        <v>559</v>
      </c>
      <c r="AW67" s="594"/>
      <c r="AX67" s="594" t="s">
        <v>560</v>
      </c>
      <c r="AY67" s="594"/>
    </row>
    <row r="68" spans="2:52" s="122" customFormat="1" ht="12.75" hidden="1" x14ac:dyDescent="0.2">
      <c r="B68" s="139" t="s">
        <v>573</v>
      </c>
      <c r="C68" s="154" t="s">
        <v>187</v>
      </c>
      <c r="D68" s="135">
        <f t="shared" ref="D68:D73" si="46">+J68+L68+N68+P68+R68+T68+V68+X68+Z68+AB68+AD68+AF68+AH68+AJ68</f>
        <v>0</v>
      </c>
      <c r="E68" s="136">
        <f t="shared" ref="E68:E73" si="47">+AL68+AN68+AP68+AT68+AV68+AX68+AR68</f>
        <v>0</v>
      </c>
      <c r="F68" s="137">
        <f t="shared" ref="F68:F73" si="48">+E68+D68</f>
        <v>0</v>
      </c>
      <c r="G68" s="135">
        <f>+M68+O68+Q68+S68+U68+W68+Y68+AA68+AC68+AE68+AG68+AI68+AK68+AM68</f>
        <v>0</v>
      </c>
      <c r="H68" s="136">
        <f>+AO68+AQ68+AS68+AW68+AY68+AZ68+AU68</f>
        <v>0</v>
      </c>
      <c r="I68" s="137">
        <f t="shared" ref="I68:I73" si="49">+H68+G68</f>
        <v>0</v>
      </c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</row>
    <row r="69" spans="2:52" hidden="1" x14ac:dyDescent="0.25">
      <c r="B69" s="139" t="s">
        <v>188</v>
      </c>
      <c r="C69" s="154" t="s">
        <v>189</v>
      </c>
      <c r="D69" s="135">
        <f t="shared" si="46"/>
        <v>0</v>
      </c>
      <c r="E69" s="136">
        <f t="shared" si="47"/>
        <v>0</v>
      </c>
      <c r="F69" s="137">
        <f t="shared" si="48"/>
        <v>0</v>
      </c>
      <c r="G69" s="135">
        <f>+M69+O69+Q69+S69+U69+W69+Y69+AA69+AC69+AE69+AG69+AI69+AK69+AM69</f>
        <v>0</v>
      </c>
      <c r="H69" s="136">
        <f>+AO69+AQ69+AS69+AW69+AY69+AZ69+AU69</f>
        <v>0</v>
      </c>
      <c r="I69" s="137">
        <f t="shared" si="49"/>
        <v>0</v>
      </c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</row>
    <row r="70" spans="2:52" ht="27.75" hidden="1" customHeight="1" x14ac:dyDescent="0.25">
      <c r="B70" s="139" t="s">
        <v>574</v>
      </c>
      <c r="C70" s="154" t="s">
        <v>191</v>
      </c>
      <c r="D70" s="135">
        <f t="shared" si="46"/>
        <v>0</v>
      </c>
      <c r="E70" s="136">
        <f t="shared" si="47"/>
        <v>0</v>
      </c>
      <c r="F70" s="137">
        <f t="shared" si="48"/>
        <v>0</v>
      </c>
      <c r="G70" s="135">
        <f>+M70+O70+Q70+S70+U70+W70+Y70+AA70+AC70+AE70+AG70+AI70+AK70+AM70</f>
        <v>0</v>
      </c>
      <c r="H70" s="136">
        <f>+AO70+AQ70+AS70+AW70+AY70+AZ70+AU70</f>
        <v>0</v>
      </c>
      <c r="I70" s="137">
        <f t="shared" si="49"/>
        <v>0</v>
      </c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</row>
    <row r="71" spans="2:52" ht="27.75" hidden="1" customHeight="1" x14ac:dyDescent="0.25">
      <c r="B71" s="139" t="s">
        <v>575</v>
      </c>
      <c r="C71" s="154" t="s">
        <v>193</v>
      </c>
      <c r="D71" s="135">
        <f t="shared" si="46"/>
        <v>0</v>
      </c>
      <c r="E71" s="136">
        <f t="shared" si="47"/>
        <v>0</v>
      </c>
      <c r="F71" s="137">
        <f t="shared" si="48"/>
        <v>0</v>
      </c>
      <c r="G71" s="135">
        <f>+M71+O71+Q71+S71+U71+W71+Y71+AA71+AC71+AE71+AG71+AI71+AK71+AM71</f>
        <v>0</v>
      </c>
      <c r="H71" s="136">
        <f>+AO71+AQ71+AS71+AW71+AY71+AZ71+AU71</f>
        <v>0</v>
      </c>
      <c r="I71" s="137">
        <f t="shared" si="49"/>
        <v>0</v>
      </c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</row>
    <row r="72" spans="2:52" ht="26.25" hidden="1" customHeight="1" x14ac:dyDescent="0.25">
      <c r="B72" s="457" t="s">
        <v>576</v>
      </c>
      <c r="C72" s="458" t="s">
        <v>195</v>
      </c>
      <c r="D72" s="459">
        <f t="shared" si="46"/>
        <v>0</v>
      </c>
      <c r="E72" s="460">
        <f t="shared" si="47"/>
        <v>0</v>
      </c>
      <c r="F72" s="326">
        <f t="shared" si="48"/>
        <v>0</v>
      </c>
      <c r="G72" s="459">
        <f>+M72+O72+Q72+S72+U72+W72+Y72+AA72+AC72+AE72+AG72+AI72+AK72+AM72</f>
        <v>0</v>
      </c>
      <c r="H72" s="460">
        <f>+AO72+AQ72+AS72+AW72+AY72+AZ72+AU72</f>
        <v>0</v>
      </c>
      <c r="I72" s="326">
        <f t="shared" si="49"/>
        <v>0</v>
      </c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</row>
    <row r="73" spans="2:52" ht="25.5" x14ac:dyDescent="0.25">
      <c r="B73" s="463" t="s">
        <v>196</v>
      </c>
      <c r="C73" s="464" t="s">
        <v>197</v>
      </c>
      <c r="D73" s="264">
        <f t="shared" si="46"/>
        <v>0</v>
      </c>
      <c r="E73" s="264">
        <f t="shared" si="47"/>
        <v>0</v>
      </c>
      <c r="F73" s="329">
        <f t="shared" si="48"/>
        <v>0</v>
      </c>
      <c r="G73" s="264">
        <f>+K73+M73+O73+Q73+S73+U73+W73+Y73+AA73+AC73+AE73+AG73+AI73+AK73</f>
        <v>0</v>
      </c>
      <c r="H73" s="264">
        <f>+AM73+AO73+AQ73+AU73+AW73+AY73+AS73</f>
        <v>0</v>
      </c>
      <c r="I73" s="329">
        <f t="shared" si="49"/>
        <v>0</v>
      </c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3"/>
    </row>
    <row r="74" spans="2:52" s="140" customFormat="1" ht="12.75" x14ac:dyDescent="0.2">
      <c r="B74" s="461" t="s">
        <v>198</v>
      </c>
      <c r="C74" s="462" t="s">
        <v>199</v>
      </c>
      <c r="D74" s="170">
        <f t="shared" ref="D74:AY74" si="50">+D73+D72+D71+D70+D69+D68</f>
        <v>0</v>
      </c>
      <c r="E74" s="170">
        <f t="shared" si="50"/>
        <v>0</v>
      </c>
      <c r="F74" s="170">
        <f t="shared" si="50"/>
        <v>0</v>
      </c>
      <c r="G74" s="170">
        <f>+G73+G72+G71+G70+G69+G68</f>
        <v>0</v>
      </c>
      <c r="H74" s="170">
        <f>+H73+H72+H71+H70+H69+H68</f>
        <v>0</v>
      </c>
      <c r="I74" s="170">
        <f t="shared" si="50"/>
        <v>0</v>
      </c>
      <c r="J74" s="170">
        <f t="shared" si="50"/>
        <v>0</v>
      </c>
      <c r="K74" s="170">
        <f t="shared" si="50"/>
        <v>0</v>
      </c>
      <c r="L74" s="170">
        <f t="shared" si="50"/>
        <v>0</v>
      </c>
      <c r="M74" s="170">
        <f t="shared" si="50"/>
        <v>0</v>
      </c>
      <c r="N74" s="170">
        <f t="shared" si="50"/>
        <v>0</v>
      </c>
      <c r="O74" s="170">
        <f t="shared" si="50"/>
        <v>0</v>
      </c>
      <c r="P74" s="170">
        <f t="shared" si="50"/>
        <v>0</v>
      </c>
      <c r="Q74" s="170">
        <f t="shared" si="50"/>
        <v>0</v>
      </c>
      <c r="R74" s="170">
        <f t="shared" si="50"/>
        <v>0</v>
      </c>
      <c r="S74" s="170">
        <f t="shared" si="50"/>
        <v>0</v>
      </c>
      <c r="T74" s="170">
        <f t="shared" si="50"/>
        <v>0</v>
      </c>
      <c r="U74" s="170">
        <f t="shared" si="50"/>
        <v>0</v>
      </c>
      <c r="V74" s="170">
        <f t="shared" si="50"/>
        <v>0</v>
      </c>
      <c r="W74" s="170">
        <f t="shared" si="50"/>
        <v>0</v>
      </c>
      <c r="X74" s="170">
        <f t="shared" si="50"/>
        <v>0</v>
      </c>
      <c r="Y74" s="170">
        <f t="shared" si="50"/>
        <v>0</v>
      </c>
      <c r="Z74" s="170">
        <f t="shared" si="50"/>
        <v>0</v>
      </c>
      <c r="AA74" s="170">
        <f t="shared" si="50"/>
        <v>0</v>
      </c>
      <c r="AB74" s="170">
        <f t="shared" si="50"/>
        <v>0</v>
      </c>
      <c r="AC74" s="170">
        <f t="shared" si="50"/>
        <v>0</v>
      </c>
      <c r="AD74" s="170">
        <f t="shared" si="50"/>
        <v>0</v>
      </c>
      <c r="AE74" s="170">
        <f t="shared" si="50"/>
        <v>0</v>
      </c>
      <c r="AF74" s="170">
        <f t="shared" si="50"/>
        <v>0</v>
      </c>
      <c r="AG74" s="170">
        <f t="shared" si="50"/>
        <v>0</v>
      </c>
      <c r="AH74" s="170">
        <f t="shared" si="50"/>
        <v>0</v>
      </c>
      <c r="AI74" s="170">
        <f t="shared" si="50"/>
        <v>0</v>
      </c>
      <c r="AJ74" s="170">
        <f t="shared" si="50"/>
        <v>0</v>
      </c>
      <c r="AK74" s="170">
        <f t="shared" si="50"/>
        <v>0</v>
      </c>
      <c r="AL74" s="170">
        <f t="shared" si="50"/>
        <v>0</v>
      </c>
      <c r="AM74" s="170">
        <f t="shared" si="50"/>
        <v>0</v>
      </c>
      <c r="AN74" s="170">
        <f t="shared" si="50"/>
        <v>0</v>
      </c>
      <c r="AO74" s="170">
        <f t="shared" si="50"/>
        <v>0</v>
      </c>
      <c r="AP74" s="170">
        <f t="shared" si="50"/>
        <v>0</v>
      </c>
      <c r="AQ74" s="170">
        <f t="shared" si="50"/>
        <v>0</v>
      </c>
      <c r="AR74" s="170">
        <f t="shared" si="50"/>
        <v>0</v>
      </c>
      <c r="AS74" s="170">
        <f t="shared" si="50"/>
        <v>0</v>
      </c>
      <c r="AT74" s="170">
        <f t="shared" si="50"/>
        <v>0</v>
      </c>
      <c r="AU74" s="170">
        <f t="shared" si="50"/>
        <v>0</v>
      </c>
      <c r="AV74" s="170">
        <f t="shared" si="50"/>
        <v>0</v>
      </c>
      <c r="AW74" s="170">
        <f t="shared" si="50"/>
        <v>0</v>
      </c>
      <c r="AX74" s="170">
        <f t="shared" si="50"/>
        <v>0</v>
      </c>
      <c r="AY74" s="170">
        <f t="shared" si="50"/>
        <v>0</v>
      </c>
    </row>
    <row r="75" spans="2:52" s="140" customFormat="1" ht="12.75" x14ac:dyDescent="0.2">
      <c r="B75" s="144" t="s">
        <v>200</v>
      </c>
      <c r="C75" s="155" t="s">
        <v>201</v>
      </c>
      <c r="D75" s="145">
        <f t="shared" ref="D75:D81" si="51">+J75+L75+N75+P75+R75+T75+V75+X75+Z75+AB75+AD75+AF75+AH75+AJ75</f>
        <v>0</v>
      </c>
      <c r="E75" s="146">
        <f t="shared" ref="E75:E81" si="52">+AL75+AN75+AP75+AT75+AV75+AX75+AR75</f>
        <v>0</v>
      </c>
      <c r="F75" s="143">
        <f t="shared" ref="F75:F81" si="53">+E75+D75</f>
        <v>0</v>
      </c>
      <c r="G75" s="465">
        <f>+K75+M75+O75+Q75+S75+U75+W75+Y75+AA75+AC75+AE75+AG75+AI75+AK75</f>
        <v>0</v>
      </c>
      <c r="H75" s="289">
        <f>+AM75+AO75+AQ75+AU75+AW75+AY75+AS75</f>
        <v>0</v>
      </c>
      <c r="I75" s="268">
        <f t="shared" ref="I75:I81" si="54">+H75+G75</f>
        <v>0</v>
      </c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263"/>
    </row>
    <row r="76" spans="2:52" ht="15" hidden="1" customHeight="1" x14ac:dyDescent="0.25">
      <c r="B76" s="139" t="s">
        <v>202</v>
      </c>
      <c r="C76" s="154" t="s">
        <v>203</v>
      </c>
      <c r="D76" s="135">
        <f t="shared" si="51"/>
        <v>0</v>
      </c>
      <c r="E76" s="136">
        <f t="shared" si="52"/>
        <v>0</v>
      </c>
      <c r="F76" s="137">
        <f t="shared" si="53"/>
        <v>0</v>
      </c>
      <c r="G76" s="135">
        <f t="shared" ref="G76:G81" si="55">+M76+O76+Q76+S76+U76+W76+Y76+AA76+AC76+AE76+AG76+AI76+AK76+AM76</f>
        <v>0</v>
      </c>
      <c r="H76" s="136">
        <f t="shared" ref="H76:H81" si="56">+AO76+AQ76+AS76+AW76+AY76+AZ76+AU76</f>
        <v>0</v>
      </c>
      <c r="I76" s="137">
        <f t="shared" si="54"/>
        <v>0</v>
      </c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</row>
    <row r="77" spans="2:52" ht="15" hidden="1" customHeight="1" x14ac:dyDescent="0.25">
      <c r="B77" s="139" t="s">
        <v>204</v>
      </c>
      <c r="C77" s="154" t="s">
        <v>205</v>
      </c>
      <c r="D77" s="135">
        <f t="shared" si="51"/>
        <v>0</v>
      </c>
      <c r="E77" s="136">
        <f t="shared" si="52"/>
        <v>0</v>
      </c>
      <c r="F77" s="137">
        <f t="shared" si="53"/>
        <v>0</v>
      </c>
      <c r="G77" s="135">
        <f t="shared" si="55"/>
        <v>0</v>
      </c>
      <c r="H77" s="136">
        <f t="shared" si="56"/>
        <v>0</v>
      </c>
      <c r="I77" s="137">
        <f t="shared" si="54"/>
        <v>0</v>
      </c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</row>
    <row r="78" spans="2:52" ht="15" hidden="1" customHeight="1" x14ac:dyDescent="0.25">
      <c r="B78" s="139" t="s">
        <v>206</v>
      </c>
      <c r="C78" s="154" t="s">
        <v>207</v>
      </c>
      <c r="D78" s="135">
        <f t="shared" si="51"/>
        <v>0</v>
      </c>
      <c r="E78" s="136">
        <f t="shared" si="52"/>
        <v>0</v>
      </c>
      <c r="F78" s="137">
        <f t="shared" si="53"/>
        <v>0</v>
      </c>
      <c r="G78" s="135">
        <f t="shared" si="55"/>
        <v>0</v>
      </c>
      <c r="H78" s="136">
        <f t="shared" si="56"/>
        <v>0</v>
      </c>
      <c r="I78" s="137">
        <f t="shared" si="54"/>
        <v>0</v>
      </c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</row>
    <row r="79" spans="2:52" ht="15" hidden="1" customHeight="1" x14ac:dyDescent="0.25">
      <c r="B79" s="139" t="s">
        <v>208</v>
      </c>
      <c r="C79" s="154" t="s">
        <v>209</v>
      </c>
      <c r="D79" s="135">
        <f t="shared" si="51"/>
        <v>0</v>
      </c>
      <c r="E79" s="136">
        <f t="shared" si="52"/>
        <v>0</v>
      </c>
      <c r="F79" s="137">
        <f t="shared" si="53"/>
        <v>0</v>
      </c>
      <c r="G79" s="135">
        <f t="shared" si="55"/>
        <v>0</v>
      </c>
      <c r="H79" s="136">
        <f t="shared" si="56"/>
        <v>0</v>
      </c>
      <c r="I79" s="137">
        <f t="shared" si="54"/>
        <v>0</v>
      </c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</row>
    <row r="80" spans="2:52" ht="15" hidden="1" customHeight="1" x14ac:dyDescent="0.25">
      <c r="B80" s="139" t="s">
        <v>210</v>
      </c>
      <c r="C80" s="154" t="s">
        <v>211</v>
      </c>
      <c r="D80" s="135">
        <f t="shared" si="51"/>
        <v>0</v>
      </c>
      <c r="E80" s="136">
        <f t="shared" si="52"/>
        <v>0</v>
      </c>
      <c r="F80" s="137">
        <f t="shared" si="53"/>
        <v>0</v>
      </c>
      <c r="G80" s="135">
        <f t="shared" si="55"/>
        <v>0</v>
      </c>
      <c r="H80" s="136">
        <f t="shared" si="56"/>
        <v>0</v>
      </c>
      <c r="I80" s="137">
        <f t="shared" si="54"/>
        <v>0</v>
      </c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</row>
    <row r="81" spans="2:51" ht="15" hidden="1" customHeight="1" x14ac:dyDescent="0.25">
      <c r="B81" s="139" t="s">
        <v>212</v>
      </c>
      <c r="C81" s="154" t="s">
        <v>213</v>
      </c>
      <c r="D81" s="135">
        <f t="shared" si="51"/>
        <v>0</v>
      </c>
      <c r="E81" s="136">
        <f t="shared" si="52"/>
        <v>0</v>
      </c>
      <c r="F81" s="137">
        <f t="shared" si="53"/>
        <v>0</v>
      </c>
      <c r="G81" s="135">
        <f t="shared" si="55"/>
        <v>0</v>
      </c>
      <c r="H81" s="136">
        <f t="shared" si="56"/>
        <v>0</v>
      </c>
      <c r="I81" s="137">
        <f t="shared" si="54"/>
        <v>0</v>
      </c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</row>
    <row r="82" spans="2:51" s="140" customFormat="1" ht="12.75" x14ac:dyDescent="0.2">
      <c r="B82" s="144" t="s">
        <v>214</v>
      </c>
      <c r="C82" s="155" t="s">
        <v>215</v>
      </c>
      <c r="D82" s="143">
        <f t="shared" ref="D82:I82" si="57">SUM(D76:D81)</f>
        <v>0</v>
      </c>
      <c r="E82" s="143">
        <f t="shared" si="57"/>
        <v>0</v>
      </c>
      <c r="F82" s="143">
        <f t="shared" si="57"/>
        <v>0</v>
      </c>
      <c r="G82" s="143">
        <f t="shared" si="57"/>
        <v>0</v>
      </c>
      <c r="H82" s="143">
        <f t="shared" si="57"/>
        <v>0</v>
      </c>
      <c r="I82" s="143">
        <f t="shared" si="57"/>
        <v>0</v>
      </c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</row>
    <row r="83" spans="2:51" x14ac:dyDescent="0.25">
      <c r="B83" s="156" t="s">
        <v>577</v>
      </c>
      <c r="C83" s="154" t="s">
        <v>217</v>
      </c>
      <c r="D83" s="135">
        <f t="shared" ref="D83:D93" si="58">+J83+L83+N83+P83+R83+T83+V83+X83+Z83+AB83+AD83+AF83+AH83+AJ83</f>
        <v>0</v>
      </c>
      <c r="E83" s="136">
        <f t="shared" ref="E83:E93" si="59">+AL83+AN83+AP83+AT83+AV83+AX83+AR83</f>
        <v>0</v>
      </c>
      <c r="F83" s="137">
        <f t="shared" ref="F83:F93" si="60">+E83+D83</f>
        <v>0</v>
      </c>
      <c r="G83" s="135">
        <f t="shared" ref="G83:G93" si="61">+K83+M83+O83+Q83+S83+U83+W83+Y83+AA83+AC83+AE83+AG83+AI83+AK83</f>
        <v>0</v>
      </c>
      <c r="H83" s="136">
        <f t="shared" ref="H83:H93" si="62">+AM83+AO83+AQ83+AU83+AW83+AY83+AS83</f>
        <v>0</v>
      </c>
      <c r="I83" s="137">
        <f t="shared" ref="I83:I93" si="63">+H83+G83</f>
        <v>0</v>
      </c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</row>
    <row r="84" spans="2:51" x14ac:dyDescent="0.25">
      <c r="B84" s="156" t="s">
        <v>218</v>
      </c>
      <c r="C84" s="154" t="s">
        <v>219</v>
      </c>
      <c r="D84" s="135">
        <f t="shared" si="58"/>
        <v>6217000</v>
      </c>
      <c r="E84" s="136">
        <f t="shared" si="59"/>
        <v>0</v>
      </c>
      <c r="F84" s="137">
        <f t="shared" si="60"/>
        <v>6217000</v>
      </c>
      <c r="G84" s="135">
        <f t="shared" si="61"/>
        <v>2000000</v>
      </c>
      <c r="H84" s="136">
        <f t="shared" si="62"/>
        <v>0</v>
      </c>
      <c r="I84" s="137">
        <f t="shared" si="63"/>
        <v>2000000</v>
      </c>
      <c r="J84" s="135"/>
      <c r="K84" s="135"/>
      <c r="L84" s="135">
        <v>4217000</v>
      </c>
      <c r="M84" s="135">
        <v>0</v>
      </c>
      <c r="N84" s="135"/>
      <c r="O84" s="135"/>
      <c r="P84" s="135"/>
      <c r="Q84" s="135"/>
      <c r="R84" s="135"/>
      <c r="S84" s="135"/>
      <c r="T84" s="135"/>
      <c r="U84" s="135"/>
      <c r="V84" s="135">
        <v>1900000</v>
      </c>
      <c r="W84" s="135">
        <v>1900000</v>
      </c>
      <c r="X84" s="135"/>
      <c r="Y84" s="135"/>
      <c r="Z84" s="135"/>
      <c r="AA84" s="135"/>
      <c r="AB84" s="135"/>
      <c r="AC84" s="135"/>
      <c r="AD84" s="135">
        <v>100000</v>
      </c>
      <c r="AE84" s="135">
        <v>100000</v>
      </c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</row>
    <row r="85" spans="2:51" x14ac:dyDescent="0.25">
      <c r="B85" s="156" t="s">
        <v>220</v>
      </c>
      <c r="C85" s="154" t="s">
        <v>221</v>
      </c>
      <c r="D85" s="135">
        <f t="shared" si="58"/>
        <v>0</v>
      </c>
      <c r="E85" s="136">
        <f t="shared" si="59"/>
        <v>0</v>
      </c>
      <c r="F85" s="137">
        <f t="shared" si="60"/>
        <v>0</v>
      </c>
      <c r="G85" s="135">
        <f t="shared" si="61"/>
        <v>0</v>
      </c>
      <c r="H85" s="136">
        <f t="shared" si="62"/>
        <v>0</v>
      </c>
      <c r="I85" s="137">
        <f t="shared" si="63"/>
        <v>0</v>
      </c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</row>
    <row r="86" spans="2:51" ht="15" customHeight="1" x14ac:dyDescent="0.25">
      <c r="B86" s="156" t="s">
        <v>222</v>
      </c>
      <c r="C86" s="154" t="s">
        <v>223</v>
      </c>
      <c r="D86" s="135">
        <f t="shared" si="58"/>
        <v>944000</v>
      </c>
      <c r="E86" s="136">
        <f t="shared" si="59"/>
        <v>0</v>
      </c>
      <c r="F86" s="137">
        <f t="shared" si="60"/>
        <v>944000</v>
      </c>
      <c r="G86" s="135">
        <f t="shared" si="61"/>
        <v>5161000</v>
      </c>
      <c r="H86" s="136">
        <f t="shared" si="62"/>
        <v>0</v>
      </c>
      <c r="I86" s="137">
        <f t="shared" si="63"/>
        <v>5161000</v>
      </c>
      <c r="J86" s="135"/>
      <c r="K86" s="135"/>
      <c r="L86" s="135">
        <v>378000</v>
      </c>
      <c r="M86" s="135">
        <f>378000+4217000</f>
        <v>4595000</v>
      </c>
      <c r="N86" s="135"/>
      <c r="O86" s="135"/>
      <c r="P86" s="135">
        <v>566000</v>
      </c>
      <c r="Q86" s="135">
        <v>566000</v>
      </c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</row>
    <row r="87" spans="2:51" ht="15" customHeight="1" x14ac:dyDescent="0.25">
      <c r="B87" s="156" t="s">
        <v>224</v>
      </c>
      <c r="C87" s="154" t="s">
        <v>225</v>
      </c>
      <c r="D87" s="135">
        <f t="shared" si="58"/>
        <v>0</v>
      </c>
      <c r="E87" s="136">
        <f t="shared" si="59"/>
        <v>0</v>
      </c>
      <c r="F87" s="137">
        <f t="shared" si="60"/>
        <v>0</v>
      </c>
      <c r="G87" s="135">
        <f t="shared" si="61"/>
        <v>0</v>
      </c>
      <c r="H87" s="136">
        <f t="shared" si="62"/>
        <v>0</v>
      </c>
      <c r="I87" s="137">
        <f t="shared" si="63"/>
        <v>0</v>
      </c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</row>
    <row r="88" spans="2:51" x14ac:dyDescent="0.25">
      <c r="B88" s="156" t="s">
        <v>226</v>
      </c>
      <c r="C88" s="154" t="s">
        <v>227</v>
      </c>
      <c r="D88" s="135">
        <f t="shared" si="58"/>
        <v>1241000</v>
      </c>
      <c r="E88" s="136">
        <f t="shared" si="59"/>
        <v>0</v>
      </c>
      <c r="F88" s="137">
        <f t="shared" si="60"/>
        <v>1241000</v>
      </c>
      <c r="G88" s="135">
        <f t="shared" si="61"/>
        <v>1241000</v>
      </c>
      <c r="H88" s="136">
        <f t="shared" si="62"/>
        <v>0</v>
      </c>
      <c r="I88" s="137">
        <f t="shared" si="63"/>
        <v>1241000</v>
      </c>
      <c r="J88" s="135"/>
      <c r="K88" s="135"/>
      <c r="L88" s="135">
        <v>1241000</v>
      </c>
      <c r="M88" s="135">
        <v>1241000</v>
      </c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</row>
    <row r="89" spans="2:51" x14ac:dyDescent="0.25">
      <c r="B89" s="156" t="s">
        <v>228</v>
      </c>
      <c r="C89" s="154" t="s">
        <v>229</v>
      </c>
      <c r="D89" s="135">
        <f t="shared" si="58"/>
        <v>0</v>
      </c>
      <c r="E89" s="136">
        <f t="shared" si="59"/>
        <v>0</v>
      </c>
      <c r="F89" s="137">
        <f t="shared" si="60"/>
        <v>0</v>
      </c>
      <c r="G89" s="135">
        <f t="shared" si="61"/>
        <v>0</v>
      </c>
      <c r="H89" s="136">
        <f t="shared" si="62"/>
        <v>0</v>
      </c>
      <c r="I89" s="137">
        <f t="shared" si="63"/>
        <v>0</v>
      </c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</row>
    <row r="90" spans="2:51" x14ac:dyDescent="0.25">
      <c r="B90" s="156" t="s">
        <v>230</v>
      </c>
      <c r="C90" s="154" t="s">
        <v>231</v>
      </c>
      <c r="D90" s="135">
        <f t="shared" si="58"/>
        <v>0</v>
      </c>
      <c r="E90" s="136">
        <f t="shared" si="59"/>
        <v>0</v>
      </c>
      <c r="F90" s="137">
        <f t="shared" si="60"/>
        <v>0</v>
      </c>
      <c r="G90" s="135">
        <f t="shared" si="61"/>
        <v>0</v>
      </c>
      <c r="H90" s="136">
        <f t="shared" si="62"/>
        <v>0</v>
      </c>
      <c r="I90" s="137">
        <f t="shared" si="63"/>
        <v>0</v>
      </c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</row>
    <row r="91" spans="2:51" hidden="1" x14ac:dyDescent="0.25">
      <c r="B91" s="156" t="s">
        <v>232</v>
      </c>
      <c r="C91" s="154" t="s">
        <v>233</v>
      </c>
      <c r="D91" s="135">
        <f t="shared" si="58"/>
        <v>0</v>
      </c>
      <c r="E91" s="136">
        <f t="shared" si="59"/>
        <v>0</v>
      </c>
      <c r="F91" s="137">
        <f t="shared" si="60"/>
        <v>0</v>
      </c>
      <c r="G91" s="135">
        <f t="shared" si="61"/>
        <v>0</v>
      </c>
      <c r="H91" s="136">
        <f t="shared" si="62"/>
        <v>0</v>
      </c>
      <c r="I91" s="137">
        <f t="shared" si="63"/>
        <v>0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</row>
    <row r="92" spans="2:51" hidden="1" x14ac:dyDescent="0.25">
      <c r="B92" s="156" t="s">
        <v>234</v>
      </c>
      <c r="C92" s="154" t="s">
        <v>235</v>
      </c>
      <c r="D92" s="135">
        <f t="shared" si="58"/>
        <v>0</v>
      </c>
      <c r="E92" s="136">
        <f t="shared" si="59"/>
        <v>0</v>
      </c>
      <c r="F92" s="137">
        <f t="shared" si="60"/>
        <v>0</v>
      </c>
      <c r="G92" s="135">
        <f t="shared" si="61"/>
        <v>0</v>
      </c>
      <c r="H92" s="136">
        <f t="shared" si="62"/>
        <v>0</v>
      </c>
      <c r="I92" s="137">
        <f t="shared" si="63"/>
        <v>0</v>
      </c>
      <c r="J92" s="135"/>
      <c r="K92" s="135"/>
      <c r="L92" s="135"/>
      <c r="M92" s="135">
        <v>0</v>
      </c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</row>
    <row r="93" spans="2:51" x14ac:dyDescent="0.25">
      <c r="B93" s="156" t="s">
        <v>236</v>
      </c>
      <c r="C93" s="154" t="s">
        <v>237</v>
      </c>
      <c r="D93" s="135">
        <f t="shared" si="58"/>
        <v>0</v>
      </c>
      <c r="E93" s="136">
        <f t="shared" si="59"/>
        <v>0</v>
      </c>
      <c r="F93" s="137">
        <f t="shared" si="60"/>
        <v>0</v>
      </c>
      <c r="G93" s="135">
        <f t="shared" si="61"/>
        <v>0</v>
      </c>
      <c r="H93" s="136">
        <f t="shared" si="62"/>
        <v>0</v>
      </c>
      <c r="I93" s="137">
        <f t="shared" si="63"/>
        <v>0</v>
      </c>
      <c r="J93" s="135"/>
      <c r="K93" s="135"/>
      <c r="L93" s="135">
        <v>0</v>
      </c>
      <c r="M93" s="135">
        <v>0</v>
      </c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</row>
    <row r="94" spans="2:51" s="140" customFormat="1" ht="12.75" x14ac:dyDescent="0.2">
      <c r="B94" s="147" t="s">
        <v>238</v>
      </c>
      <c r="C94" s="155" t="s">
        <v>239</v>
      </c>
      <c r="D94" s="143">
        <f t="shared" ref="D94:AS94" si="64">SUM(D83:D93)</f>
        <v>8402000</v>
      </c>
      <c r="E94" s="143">
        <f t="shared" si="64"/>
        <v>0</v>
      </c>
      <c r="F94" s="143">
        <f t="shared" si="64"/>
        <v>8402000</v>
      </c>
      <c r="G94" s="143">
        <f>SUM(G83:G93)</f>
        <v>8402000</v>
      </c>
      <c r="H94" s="143">
        <f>SUM(H83:H93)</f>
        <v>0</v>
      </c>
      <c r="I94" s="143">
        <f t="shared" si="64"/>
        <v>8402000</v>
      </c>
      <c r="J94" s="143">
        <f t="shared" si="64"/>
        <v>0</v>
      </c>
      <c r="K94" s="143">
        <f t="shared" si="64"/>
        <v>0</v>
      </c>
      <c r="L94" s="143">
        <f t="shared" si="64"/>
        <v>5836000</v>
      </c>
      <c r="M94" s="143">
        <f t="shared" si="64"/>
        <v>5836000</v>
      </c>
      <c r="N94" s="143">
        <f t="shared" si="64"/>
        <v>0</v>
      </c>
      <c r="O94" s="143">
        <f t="shared" si="64"/>
        <v>0</v>
      </c>
      <c r="P94" s="143">
        <f t="shared" si="64"/>
        <v>566000</v>
      </c>
      <c r="Q94" s="143">
        <f t="shared" si="64"/>
        <v>566000</v>
      </c>
      <c r="R94" s="143">
        <f t="shared" si="64"/>
        <v>0</v>
      </c>
      <c r="S94" s="143">
        <f t="shared" si="64"/>
        <v>0</v>
      </c>
      <c r="T94" s="143">
        <f t="shared" si="64"/>
        <v>0</v>
      </c>
      <c r="U94" s="143">
        <f t="shared" si="64"/>
        <v>0</v>
      </c>
      <c r="V94" s="143">
        <f t="shared" si="64"/>
        <v>1900000</v>
      </c>
      <c r="W94" s="143">
        <f t="shared" si="64"/>
        <v>1900000</v>
      </c>
      <c r="X94" s="143">
        <f t="shared" si="64"/>
        <v>0</v>
      </c>
      <c r="Y94" s="143">
        <f t="shared" si="64"/>
        <v>0</v>
      </c>
      <c r="Z94" s="143">
        <f t="shared" si="64"/>
        <v>0</v>
      </c>
      <c r="AA94" s="143">
        <f t="shared" si="64"/>
        <v>0</v>
      </c>
      <c r="AB94" s="143">
        <f t="shared" si="64"/>
        <v>0</v>
      </c>
      <c r="AC94" s="143">
        <f t="shared" si="64"/>
        <v>0</v>
      </c>
      <c r="AD94" s="143">
        <f t="shared" si="64"/>
        <v>100000</v>
      </c>
      <c r="AE94" s="143">
        <f t="shared" si="64"/>
        <v>100000</v>
      </c>
      <c r="AF94" s="143">
        <f t="shared" si="64"/>
        <v>0</v>
      </c>
      <c r="AG94" s="143">
        <f t="shared" si="64"/>
        <v>0</v>
      </c>
      <c r="AH94" s="143">
        <f t="shared" si="64"/>
        <v>0</v>
      </c>
      <c r="AI94" s="143">
        <f t="shared" si="64"/>
        <v>0</v>
      </c>
      <c r="AJ94" s="143">
        <f t="shared" si="64"/>
        <v>0</v>
      </c>
      <c r="AK94" s="143">
        <f t="shared" si="64"/>
        <v>0</v>
      </c>
      <c r="AL94" s="143">
        <f t="shared" si="64"/>
        <v>0</v>
      </c>
      <c r="AM94" s="143">
        <f t="shared" si="64"/>
        <v>0</v>
      </c>
      <c r="AN94" s="143">
        <f t="shared" si="64"/>
        <v>0</v>
      </c>
      <c r="AO94" s="143">
        <f t="shared" si="64"/>
        <v>0</v>
      </c>
      <c r="AP94" s="143">
        <f t="shared" si="64"/>
        <v>0</v>
      </c>
      <c r="AQ94" s="143">
        <f t="shared" si="64"/>
        <v>0</v>
      </c>
      <c r="AR94" s="143">
        <f t="shared" si="64"/>
        <v>0</v>
      </c>
      <c r="AS94" s="143">
        <f t="shared" si="64"/>
        <v>0</v>
      </c>
      <c r="AT94" s="143">
        <f t="shared" ref="AT94:AY94" si="65">SUM(AT83:AT93)</f>
        <v>0</v>
      </c>
      <c r="AU94" s="143">
        <f t="shared" si="65"/>
        <v>0</v>
      </c>
      <c r="AV94" s="143">
        <f t="shared" si="65"/>
        <v>0</v>
      </c>
      <c r="AW94" s="143">
        <f t="shared" si="65"/>
        <v>0</v>
      </c>
      <c r="AX94" s="143">
        <f t="shared" si="65"/>
        <v>0</v>
      </c>
      <c r="AY94" s="143">
        <f t="shared" si="65"/>
        <v>0</v>
      </c>
    </row>
    <row r="95" spans="2:51" x14ac:dyDescent="0.25">
      <c r="B95" s="156" t="s">
        <v>240</v>
      </c>
      <c r="C95" s="154" t="s">
        <v>241</v>
      </c>
      <c r="D95" s="135">
        <f>+J95+L95+N95+P95+R95+T95+V95+X95+Z95+AB95+AD95+AF95+AH95+AJ95</f>
        <v>0</v>
      </c>
      <c r="E95" s="136">
        <f>+AL95+AN95+AP95+AT95+AV95+AX95+AR95</f>
        <v>0</v>
      </c>
      <c r="F95" s="137">
        <f>+E95+D95</f>
        <v>0</v>
      </c>
      <c r="G95" s="135">
        <f>+K95+M95+O95+Q95+S95+U95+W95+Y95+AA95+AC95+AE95+AG95+AI95+AK95</f>
        <v>0</v>
      </c>
      <c r="H95" s="136">
        <f>+AM95+AO95+AQ95+AU95+AW95+AY95+AS95</f>
        <v>0</v>
      </c>
      <c r="I95" s="137">
        <f>+H95+G95</f>
        <v>0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</row>
    <row r="96" spans="2:51" x14ac:dyDescent="0.25">
      <c r="B96" s="156" t="s">
        <v>242</v>
      </c>
      <c r="C96" s="154" t="s">
        <v>243</v>
      </c>
      <c r="D96" s="135">
        <f>+J96+L96+N96+P96+R96+T96+V96+X96+Z96+AB96+AD96+AF96+AH96+AJ96</f>
        <v>0</v>
      </c>
      <c r="E96" s="136">
        <f>+AL96+AN96+AP96+AT96+AV96+AX96+AR96</f>
        <v>0</v>
      </c>
      <c r="F96" s="137">
        <f>+E96+D96</f>
        <v>0</v>
      </c>
      <c r="G96" s="135">
        <f>+K96+M96+O96+Q96+S96+U96+W96+Y96+AA96+AC96+AE96+AG96+AI96+AK96</f>
        <v>0</v>
      </c>
      <c r="H96" s="136">
        <f>+AM96+AO96+AQ96+AU96+AW96+AY96+AS96</f>
        <v>0</v>
      </c>
      <c r="I96" s="137">
        <f>+H96+G96</f>
        <v>0</v>
      </c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</row>
    <row r="97" spans="2:51" x14ac:dyDescent="0.25">
      <c r="B97" s="156" t="s">
        <v>244</v>
      </c>
      <c r="C97" s="154" t="s">
        <v>245</v>
      </c>
      <c r="D97" s="135">
        <f>+J97+L97+N97+P97+R97+T97+V97+X97+Z97+AB97+AD97+AF97+AH97+AJ97</f>
        <v>0</v>
      </c>
      <c r="E97" s="136">
        <f>+AL97+AN97+AP97+AT97+AV97+AX97+AR97</f>
        <v>0</v>
      </c>
      <c r="F97" s="137">
        <f>+E97+D97</f>
        <v>0</v>
      </c>
      <c r="G97" s="135">
        <f>+K97+M97+O97+Q97+S97+U97+W97+Y97+AA97+AC97+AE97+AG97+AI97+AK97</f>
        <v>0</v>
      </c>
      <c r="H97" s="136">
        <f>+AM97+AO97+AQ97+AU97+AW97+AY97+AS97</f>
        <v>0</v>
      </c>
      <c r="I97" s="137">
        <f>+H97+G97</f>
        <v>0</v>
      </c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</row>
    <row r="98" spans="2:51" hidden="1" x14ac:dyDescent="0.25">
      <c r="B98" s="156" t="s">
        <v>246</v>
      </c>
      <c r="C98" s="154" t="s">
        <v>247</v>
      </c>
      <c r="D98" s="135">
        <f>+J98+L98+N98+P98+R98+T98+V98+X98+Z98+AB98+AD98+AF98+AH98+AJ98</f>
        <v>0</v>
      </c>
      <c r="E98" s="136">
        <f>+AL98+AN98+AP98+AT98+AV98+AX98+AR98</f>
        <v>0</v>
      </c>
      <c r="F98" s="137">
        <f>+E98+D98</f>
        <v>0</v>
      </c>
      <c r="G98" s="135">
        <f>+M98+O98+Q98+S98+U98+W98+Y98+AA98+AC98+AE98+AG98+AI98+AK98+AM98</f>
        <v>0</v>
      </c>
      <c r="H98" s="136">
        <f>+AO98+AQ98+AS98+AW98+AY98+AZ98+AU98</f>
        <v>0</v>
      </c>
      <c r="I98" s="137">
        <f>+H98+G98</f>
        <v>0</v>
      </c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</row>
    <row r="99" spans="2:51" hidden="1" x14ac:dyDescent="0.25">
      <c r="B99" s="156" t="s">
        <v>248</v>
      </c>
      <c r="C99" s="154" t="s">
        <v>249</v>
      </c>
      <c r="D99" s="135">
        <f>+J99+L99+N99+P99+R99+T99+V99+X99+Z99+AB99+AD99+AF99+AH99+AJ99</f>
        <v>0</v>
      </c>
      <c r="E99" s="136">
        <f>+AL99+AN99+AP99+AT99+AV99+AX99+AR99</f>
        <v>0</v>
      </c>
      <c r="F99" s="137">
        <f>+E99+D99</f>
        <v>0</v>
      </c>
      <c r="G99" s="135">
        <f>+M99+O99+Q99+S99+U99+W99+Y99+AA99+AC99+AE99+AG99+AI99+AK99+AM99</f>
        <v>0</v>
      </c>
      <c r="H99" s="136">
        <f>+AO99+AQ99+AS99+AW99+AY99+AZ99+AU99</f>
        <v>0</v>
      </c>
      <c r="I99" s="137">
        <f>+H99+G99</f>
        <v>0</v>
      </c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</row>
    <row r="100" spans="2:51" s="140" customFormat="1" ht="12.75" x14ac:dyDescent="0.2">
      <c r="B100" s="144" t="s">
        <v>250</v>
      </c>
      <c r="C100" s="155" t="s">
        <v>251</v>
      </c>
      <c r="D100" s="143">
        <f t="shared" ref="D100:AS100" si="66">SUM(D95:D99)</f>
        <v>0</v>
      </c>
      <c r="E100" s="143">
        <f t="shared" si="66"/>
        <v>0</v>
      </c>
      <c r="F100" s="143">
        <f t="shared" si="66"/>
        <v>0</v>
      </c>
      <c r="G100" s="143">
        <f>SUM(G95:G99)</f>
        <v>0</v>
      </c>
      <c r="H100" s="143">
        <f>SUM(H95:H99)</f>
        <v>0</v>
      </c>
      <c r="I100" s="143">
        <f t="shared" si="66"/>
        <v>0</v>
      </c>
      <c r="J100" s="143">
        <f t="shared" si="66"/>
        <v>0</v>
      </c>
      <c r="K100" s="143">
        <f t="shared" si="66"/>
        <v>0</v>
      </c>
      <c r="L100" s="143">
        <f t="shared" si="66"/>
        <v>0</v>
      </c>
      <c r="M100" s="143">
        <f t="shared" si="66"/>
        <v>0</v>
      </c>
      <c r="N100" s="143">
        <f t="shared" si="66"/>
        <v>0</v>
      </c>
      <c r="O100" s="143">
        <f t="shared" si="66"/>
        <v>0</v>
      </c>
      <c r="P100" s="143">
        <f t="shared" si="66"/>
        <v>0</v>
      </c>
      <c r="Q100" s="143">
        <f t="shared" si="66"/>
        <v>0</v>
      </c>
      <c r="R100" s="143">
        <f t="shared" si="66"/>
        <v>0</v>
      </c>
      <c r="S100" s="143">
        <f t="shared" si="66"/>
        <v>0</v>
      </c>
      <c r="T100" s="143">
        <f t="shared" si="66"/>
        <v>0</v>
      </c>
      <c r="U100" s="143">
        <f t="shared" si="66"/>
        <v>0</v>
      </c>
      <c r="V100" s="143">
        <f t="shared" si="66"/>
        <v>0</v>
      </c>
      <c r="W100" s="143">
        <f t="shared" si="66"/>
        <v>0</v>
      </c>
      <c r="X100" s="143">
        <f t="shared" si="66"/>
        <v>0</v>
      </c>
      <c r="Y100" s="143">
        <f t="shared" si="66"/>
        <v>0</v>
      </c>
      <c r="Z100" s="143">
        <f t="shared" si="66"/>
        <v>0</v>
      </c>
      <c r="AA100" s="143">
        <f t="shared" si="66"/>
        <v>0</v>
      </c>
      <c r="AB100" s="143">
        <f t="shared" si="66"/>
        <v>0</v>
      </c>
      <c r="AC100" s="143">
        <f t="shared" si="66"/>
        <v>0</v>
      </c>
      <c r="AD100" s="143">
        <f t="shared" si="66"/>
        <v>0</v>
      </c>
      <c r="AE100" s="143">
        <f t="shared" si="66"/>
        <v>0</v>
      </c>
      <c r="AF100" s="143">
        <f t="shared" si="66"/>
        <v>0</v>
      </c>
      <c r="AG100" s="143">
        <f t="shared" si="66"/>
        <v>0</v>
      </c>
      <c r="AH100" s="143">
        <f t="shared" si="66"/>
        <v>0</v>
      </c>
      <c r="AI100" s="143">
        <f t="shared" si="66"/>
        <v>0</v>
      </c>
      <c r="AJ100" s="143">
        <f t="shared" si="66"/>
        <v>0</v>
      </c>
      <c r="AK100" s="143">
        <f t="shared" si="66"/>
        <v>0</v>
      </c>
      <c r="AL100" s="143">
        <f t="shared" si="66"/>
        <v>0</v>
      </c>
      <c r="AM100" s="143">
        <f t="shared" si="66"/>
        <v>0</v>
      </c>
      <c r="AN100" s="143">
        <f t="shared" si="66"/>
        <v>0</v>
      </c>
      <c r="AO100" s="143">
        <f t="shared" si="66"/>
        <v>0</v>
      </c>
      <c r="AP100" s="143">
        <f t="shared" si="66"/>
        <v>0</v>
      </c>
      <c r="AQ100" s="143">
        <f t="shared" si="66"/>
        <v>0</v>
      </c>
      <c r="AR100" s="143">
        <f t="shared" si="66"/>
        <v>0</v>
      </c>
      <c r="AS100" s="143">
        <f t="shared" si="66"/>
        <v>0</v>
      </c>
      <c r="AT100" s="143">
        <f t="shared" ref="AT100:AY100" si="67">SUM(AT95:AT99)</f>
        <v>0</v>
      </c>
      <c r="AU100" s="143">
        <f t="shared" si="67"/>
        <v>0</v>
      </c>
      <c r="AV100" s="143">
        <f t="shared" si="67"/>
        <v>0</v>
      </c>
      <c r="AW100" s="143">
        <f t="shared" si="67"/>
        <v>0</v>
      </c>
      <c r="AX100" s="143">
        <f t="shared" si="67"/>
        <v>0</v>
      </c>
      <c r="AY100" s="143">
        <f t="shared" si="67"/>
        <v>0</v>
      </c>
    </row>
    <row r="101" spans="2:51" s="333" customFormat="1" ht="12.75" x14ac:dyDescent="0.2">
      <c r="B101" s="144" t="s">
        <v>252</v>
      </c>
      <c r="C101" s="155" t="s">
        <v>253</v>
      </c>
      <c r="D101" s="143">
        <f t="shared" ref="D101:D106" si="68">+J101+L101+N101+P101+R101+T101+V101+X101+Z101+AB101+AD101+AF101+AH101+AJ101</f>
        <v>5434500</v>
      </c>
      <c r="E101" s="170">
        <f t="shared" ref="E101:E106" si="69">+AL101+AN101+AP101+AT101+AV101+AX101+AR101</f>
        <v>0</v>
      </c>
      <c r="F101" s="143">
        <f t="shared" ref="F101:F106" si="70">+E101+D101</f>
        <v>5434500</v>
      </c>
      <c r="G101" s="268">
        <f>+K101+M101+O101+Q101+S101+U101+W101+Y101+AA101+AC101+AE101+AG101+AI101+AK101</f>
        <v>5758565</v>
      </c>
      <c r="H101" s="332">
        <f>+AM101+AO101+AQ101+AU101+AW101+AY101+AS101</f>
        <v>0</v>
      </c>
      <c r="I101" s="143">
        <f t="shared" ref="I101:I106" si="71">+H101+G101</f>
        <v>5758565</v>
      </c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>
        <v>5434500</v>
      </c>
      <c r="Y101" s="143">
        <f>5434500+324065</f>
        <v>5758565</v>
      </c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</row>
    <row r="102" spans="2:51" ht="27" hidden="1" customHeight="1" x14ac:dyDescent="0.25">
      <c r="B102" s="156" t="s">
        <v>578</v>
      </c>
      <c r="C102" s="154" t="s">
        <v>255</v>
      </c>
      <c r="D102" s="135">
        <f t="shared" si="68"/>
        <v>0</v>
      </c>
      <c r="E102" s="136">
        <f t="shared" si="69"/>
        <v>0</v>
      </c>
      <c r="F102" s="137">
        <f t="shared" si="70"/>
        <v>0</v>
      </c>
      <c r="G102" s="135">
        <f>+M102+O102+Q102+S102+U102+W102+Y102+AA102+AC102+AE102+AG102+AI102+AK102+AM102</f>
        <v>0</v>
      </c>
      <c r="H102" s="136">
        <f>+AO102+AQ102+AS102+AW102+AY102+AZ102+AU102</f>
        <v>0</v>
      </c>
      <c r="I102" s="137">
        <f t="shared" si="71"/>
        <v>0</v>
      </c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</row>
    <row r="103" spans="2:51" hidden="1" x14ac:dyDescent="0.25">
      <c r="B103" s="139" t="s">
        <v>579</v>
      </c>
      <c r="C103" s="154" t="s">
        <v>257</v>
      </c>
      <c r="D103" s="135">
        <f t="shared" si="68"/>
        <v>0</v>
      </c>
      <c r="E103" s="136">
        <f t="shared" si="69"/>
        <v>0</v>
      </c>
      <c r="F103" s="137">
        <f t="shared" si="70"/>
        <v>0</v>
      </c>
      <c r="G103" s="135">
        <f>+M103+O103+Q103+S103+U103+W103+Y103+AA103+AC103+AE103+AG103+AI103+AK103+AM103</f>
        <v>0</v>
      </c>
      <c r="H103" s="136">
        <f>+AO103+AQ103+AS103+AW103+AY103+AZ103+AU103</f>
        <v>0</v>
      </c>
      <c r="I103" s="137">
        <f t="shared" si="71"/>
        <v>0</v>
      </c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</row>
    <row r="104" spans="2:51" ht="27" hidden="1" customHeight="1" x14ac:dyDescent="0.25">
      <c r="B104" s="156" t="s">
        <v>258</v>
      </c>
      <c r="C104" s="154" t="s">
        <v>259</v>
      </c>
      <c r="D104" s="135">
        <f t="shared" si="68"/>
        <v>0</v>
      </c>
      <c r="E104" s="136">
        <f t="shared" si="69"/>
        <v>0</v>
      </c>
      <c r="F104" s="137">
        <f t="shared" si="70"/>
        <v>0</v>
      </c>
      <c r="G104" s="135">
        <f>+M104+O104+Q104+S104+U104+W104+Y104+AA104+AC104+AE104+AG104+AI104+AK104+AM104</f>
        <v>0</v>
      </c>
      <c r="H104" s="136">
        <f>+AO104+AQ104+AS104+AW104+AY104+AZ104+AU104</f>
        <v>0</v>
      </c>
      <c r="I104" s="137">
        <f t="shared" si="71"/>
        <v>0</v>
      </c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</row>
    <row r="105" spans="2:51" ht="27" customHeight="1" x14ac:dyDescent="0.25">
      <c r="B105" s="156" t="s">
        <v>580</v>
      </c>
      <c r="C105" s="154" t="s">
        <v>261</v>
      </c>
      <c r="D105" s="135">
        <f t="shared" si="68"/>
        <v>0</v>
      </c>
      <c r="E105" s="136">
        <f t="shared" si="69"/>
        <v>0</v>
      </c>
      <c r="F105" s="137">
        <f t="shared" si="70"/>
        <v>0</v>
      </c>
      <c r="G105" s="135">
        <f>+M105+O105+Q105+S105+U105+W105+Y105+AA105+AC105+AE105+AG105+AI105+AK105+AM105</f>
        <v>0</v>
      </c>
      <c r="H105" s="136">
        <f>+AO105+AQ105+AS105+AW105+AY105+AZ105+AU105</f>
        <v>0</v>
      </c>
      <c r="I105" s="137">
        <f t="shared" si="71"/>
        <v>0</v>
      </c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</row>
    <row r="106" spans="2:51" ht="15" customHeight="1" x14ac:dyDescent="0.25">
      <c r="B106" s="156" t="s">
        <v>262</v>
      </c>
      <c r="C106" s="154" t="s">
        <v>263</v>
      </c>
      <c r="D106" s="135">
        <f t="shared" si="68"/>
        <v>25400000</v>
      </c>
      <c r="E106" s="136">
        <f t="shared" si="69"/>
        <v>0</v>
      </c>
      <c r="F106" s="137">
        <f t="shared" si="70"/>
        <v>25400000</v>
      </c>
      <c r="G106" s="135">
        <f>+K106+M106+O106+Q106+S106+U106+W106+Y106+AA106+AC106+AE106+AG106+AI106+AK106</f>
        <v>25400000</v>
      </c>
      <c r="H106" s="136">
        <f>+AM106+AO106+AQ106+AU106+AW106+AY106+AS106</f>
        <v>0</v>
      </c>
      <c r="I106" s="137">
        <f t="shared" si="71"/>
        <v>25400000</v>
      </c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>
        <v>25400000</v>
      </c>
      <c r="Y106" s="135">
        <v>25400000</v>
      </c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</row>
    <row r="107" spans="2:51" s="140" customFormat="1" ht="12.75" x14ac:dyDescent="0.2">
      <c r="B107" s="144" t="s">
        <v>264</v>
      </c>
      <c r="C107" s="155" t="s">
        <v>265</v>
      </c>
      <c r="D107" s="143">
        <f>SUM(D102:D106)</f>
        <v>25400000</v>
      </c>
      <c r="E107" s="143">
        <f>SUM(E102:E106)</f>
        <v>0</v>
      </c>
      <c r="F107" s="143">
        <f>SUM(F102:F106)</f>
        <v>25400000</v>
      </c>
      <c r="G107" s="143">
        <f>SUM(G102:G106)</f>
        <v>25400000</v>
      </c>
      <c r="H107" s="143">
        <f>SUM(H102:H106)</f>
        <v>0</v>
      </c>
      <c r="I107" s="143">
        <f t="shared" ref="I107:AW107" si="72">SUM(I102:I106)</f>
        <v>25400000</v>
      </c>
      <c r="J107" s="143">
        <f t="shared" si="72"/>
        <v>0</v>
      </c>
      <c r="K107" s="143">
        <f t="shared" si="72"/>
        <v>0</v>
      </c>
      <c r="L107" s="143">
        <f t="shared" si="72"/>
        <v>0</v>
      </c>
      <c r="M107" s="143">
        <f t="shared" si="72"/>
        <v>0</v>
      </c>
      <c r="N107" s="143">
        <f t="shared" si="72"/>
        <v>0</v>
      </c>
      <c r="O107" s="143">
        <f t="shared" si="72"/>
        <v>0</v>
      </c>
      <c r="P107" s="143">
        <f t="shared" si="72"/>
        <v>0</v>
      </c>
      <c r="Q107" s="143">
        <f t="shared" si="72"/>
        <v>0</v>
      </c>
      <c r="R107" s="143">
        <f t="shared" si="72"/>
        <v>0</v>
      </c>
      <c r="S107" s="143">
        <f t="shared" si="72"/>
        <v>0</v>
      </c>
      <c r="T107" s="143">
        <f t="shared" si="72"/>
        <v>0</v>
      </c>
      <c r="U107" s="143">
        <f t="shared" si="72"/>
        <v>0</v>
      </c>
      <c r="V107" s="143">
        <f t="shared" si="72"/>
        <v>0</v>
      </c>
      <c r="W107" s="143">
        <f t="shared" si="72"/>
        <v>0</v>
      </c>
      <c r="X107" s="143">
        <f t="shared" si="72"/>
        <v>25400000</v>
      </c>
      <c r="Y107" s="143">
        <f t="shared" si="72"/>
        <v>25400000</v>
      </c>
      <c r="Z107" s="143">
        <f t="shared" si="72"/>
        <v>0</v>
      </c>
      <c r="AA107" s="143">
        <f t="shared" si="72"/>
        <v>0</v>
      </c>
      <c r="AB107" s="143">
        <f t="shared" si="72"/>
        <v>0</v>
      </c>
      <c r="AC107" s="143">
        <f t="shared" si="72"/>
        <v>0</v>
      </c>
      <c r="AD107" s="143">
        <f t="shared" si="72"/>
        <v>0</v>
      </c>
      <c r="AE107" s="143">
        <f t="shared" si="72"/>
        <v>0</v>
      </c>
      <c r="AF107" s="143">
        <f t="shared" si="72"/>
        <v>0</v>
      </c>
      <c r="AG107" s="143">
        <f t="shared" si="72"/>
        <v>0</v>
      </c>
      <c r="AH107" s="143">
        <f t="shared" si="72"/>
        <v>0</v>
      </c>
      <c r="AI107" s="143">
        <f t="shared" si="72"/>
        <v>0</v>
      </c>
      <c r="AJ107" s="143">
        <f t="shared" si="72"/>
        <v>0</v>
      </c>
      <c r="AK107" s="143">
        <f t="shared" si="72"/>
        <v>0</v>
      </c>
      <c r="AL107" s="143">
        <f t="shared" si="72"/>
        <v>0</v>
      </c>
      <c r="AM107" s="143">
        <f t="shared" si="72"/>
        <v>0</v>
      </c>
      <c r="AN107" s="143">
        <f t="shared" si="72"/>
        <v>0</v>
      </c>
      <c r="AO107" s="143">
        <f t="shared" si="72"/>
        <v>0</v>
      </c>
      <c r="AP107" s="143">
        <f t="shared" si="72"/>
        <v>0</v>
      </c>
      <c r="AQ107" s="143">
        <f t="shared" si="72"/>
        <v>0</v>
      </c>
      <c r="AR107" s="143">
        <f t="shared" si="72"/>
        <v>0</v>
      </c>
      <c r="AS107" s="143">
        <f t="shared" si="72"/>
        <v>0</v>
      </c>
      <c r="AT107" s="143">
        <f t="shared" si="72"/>
        <v>0</v>
      </c>
      <c r="AU107" s="143">
        <f t="shared" si="72"/>
        <v>0</v>
      </c>
      <c r="AV107" s="143">
        <f t="shared" si="72"/>
        <v>0</v>
      </c>
      <c r="AW107" s="143">
        <f t="shared" si="72"/>
        <v>0</v>
      </c>
      <c r="AX107" s="143">
        <f>SUM(AX102:AX106)</f>
        <v>0</v>
      </c>
      <c r="AY107" s="143">
        <f>SUM(AY102:AY106)</f>
        <v>0</v>
      </c>
    </row>
    <row r="108" spans="2:51" x14ac:dyDescent="0.25">
      <c r="B108" s="171" t="s">
        <v>266</v>
      </c>
      <c r="C108" s="157" t="s">
        <v>267</v>
      </c>
      <c r="D108" s="159">
        <f>+D107+D101+D100+D94+D82+D75+D74</f>
        <v>39236500</v>
      </c>
      <c r="E108" s="159">
        <f>+E107+E101+E100+E94+E82+E75+E74</f>
        <v>0</v>
      </c>
      <c r="F108" s="159">
        <f>+F107+F101+F100+F94+F82+F75+F74</f>
        <v>39236500</v>
      </c>
      <c r="G108" s="159">
        <f>+G107+G101+G100+G94+G82+G75+G74</f>
        <v>39560565</v>
      </c>
      <c r="H108" s="159">
        <f>+H107+H101+H100+H94+H82+H75+H74</f>
        <v>0</v>
      </c>
      <c r="I108" s="159">
        <f t="shared" ref="I108:AW108" si="73">+I107+I101+I100+I94+I82+I75+I74</f>
        <v>39560565</v>
      </c>
      <c r="J108" s="159">
        <f t="shared" si="73"/>
        <v>0</v>
      </c>
      <c r="K108" s="159">
        <f t="shared" si="73"/>
        <v>0</v>
      </c>
      <c r="L108" s="159">
        <f t="shared" si="73"/>
        <v>5836000</v>
      </c>
      <c r="M108" s="159">
        <f t="shared" si="73"/>
        <v>5836000</v>
      </c>
      <c r="N108" s="159">
        <f t="shared" si="73"/>
        <v>0</v>
      </c>
      <c r="O108" s="159">
        <f t="shared" si="73"/>
        <v>0</v>
      </c>
      <c r="P108" s="159">
        <f t="shared" si="73"/>
        <v>566000</v>
      </c>
      <c r="Q108" s="159">
        <f t="shared" si="73"/>
        <v>566000</v>
      </c>
      <c r="R108" s="159">
        <f t="shared" si="73"/>
        <v>0</v>
      </c>
      <c r="S108" s="159">
        <f t="shared" si="73"/>
        <v>0</v>
      </c>
      <c r="T108" s="159">
        <f t="shared" si="73"/>
        <v>0</v>
      </c>
      <c r="U108" s="159">
        <f t="shared" si="73"/>
        <v>0</v>
      </c>
      <c r="V108" s="159">
        <f t="shared" si="73"/>
        <v>1900000</v>
      </c>
      <c r="W108" s="159">
        <f t="shared" si="73"/>
        <v>1900000</v>
      </c>
      <c r="X108" s="159">
        <f t="shared" si="73"/>
        <v>30834500</v>
      </c>
      <c r="Y108" s="159">
        <f t="shared" si="73"/>
        <v>31158565</v>
      </c>
      <c r="Z108" s="159">
        <f t="shared" si="73"/>
        <v>0</v>
      </c>
      <c r="AA108" s="159">
        <f t="shared" si="73"/>
        <v>0</v>
      </c>
      <c r="AB108" s="159">
        <f t="shared" si="73"/>
        <v>0</v>
      </c>
      <c r="AC108" s="159">
        <f t="shared" si="73"/>
        <v>0</v>
      </c>
      <c r="AD108" s="159">
        <f t="shared" si="73"/>
        <v>100000</v>
      </c>
      <c r="AE108" s="159">
        <f t="shared" si="73"/>
        <v>100000</v>
      </c>
      <c r="AF108" s="159">
        <f t="shared" si="73"/>
        <v>0</v>
      </c>
      <c r="AG108" s="159">
        <f t="shared" si="73"/>
        <v>0</v>
      </c>
      <c r="AH108" s="159">
        <f t="shared" si="73"/>
        <v>0</v>
      </c>
      <c r="AI108" s="159">
        <f t="shared" si="73"/>
        <v>0</v>
      </c>
      <c r="AJ108" s="159">
        <f t="shared" si="73"/>
        <v>0</v>
      </c>
      <c r="AK108" s="159">
        <f t="shared" si="73"/>
        <v>0</v>
      </c>
      <c r="AL108" s="159">
        <f t="shared" si="73"/>
        <v>0</v>
      </c>
      <c r="AM108" s="159">
        <f t="shared" si="73"/>
        <v>0</v>
      </c>
      <c r="AN108" s="159">
        <f t="shared" si="73"/>
        <v>0</v>
      </c>
      <c r="AO108" s="159">
        <f t="shared" si="73"/>
        <v>0</v>
      </c>
      <c r="AP108" s="159">
        <f t="shared" si="73"/>
        <v>0</v>
      </c>
      <c r="AQ108" s="159">
        <f t="shared" si="73"/>
        <v>0</v>
      </c>
      <c r="AR108" s="159">
        <f t="shared" si="73"/>
        <v>0</v>
      </c>
      <c r="AS108" s="159">
        <f t="shared" si="73"/>
        <v>0</v>
      </c>
      <c r="AT108" s="159">
        <f t="shared" si="73"/>
        <v>0</v>
      </c>
      <c r="AU108" s="159">
        <f t="shared" si="73"/>
        <v>0</v>
      </c>
      <c r="AV108" s="159">
        <f t="shared" si="73"/>
        <v>0</v>
      </c>
      <c r="AW108" s="159">
        <f t="shared" si="73"/>
        <v>0</v>
      </c>
      <c r="AX108" s="159">
        <f>+AX107+AX101+AX100+AX94+AX82+AX75+AX74</f>
        <v>0</v>
      </c>
      <c r="AY108" s="159">
        <f>+AY107+AY101+AY100+AY94+AY82+AY75+AY74</f>
        <v>0</v>
      </c>
    </row>
    <row r="109" spans="2:51" x14ac:dyDescent="0.25">
      <c r="B109" s="172" t="s">
        <v>268</v>
      </c>
      <c r="C109" s="173"/>
      <c r="D109" s="174">
        <f>+D101+D94+D82+D74-D33</f>
        <v>-258571496</v>
      </c>
      <c r="E109" s="174">
        <f>+E101+E94+E82+E74-E33</f>
        <v>-33400000</v>
      </c>
      <c r="F109" s="174">
        <f t="shared" ref="F109:F116" si="74">+E109+D109</f>
        <v>-291971496</v>
      </c>
      <c r="G109" s="174">
        <f>+G101+G94+G82+G74-G33</f>
        <v>-267727620</v>
      </c>
      <c r="H109" s="174">
        <f>+H101+H94+H82+H74-H33</f>
        <v>-33441400</v>
      </c>
      <c r="I109" s="174">
        <f t="shared" ref="I109:AW109" si="75">+I101+I94+I82+I74-I33</f>
        <v>-301169020</v>
      </c>
      <c r="J109" s="174">
        <f t="shared" si="75"/>
        <v>-103895496</v>
      </c>
      <c r="K109" s="174">
        <f t="shared" si="75"/>
        <v>-113375685</v>
      </c>
      <c r="L109" s="174">
        <f t="shared" si="75"/>
        <v>-10564000</v>
      </c>
      <c r="M109" s="174">
        <f t="shared" si="75"/>
        <v>-10564000</v>
      </c>
      <c r="N109" s="174">
        <f t="shared" si="75"/>
        <v>0</v>
      </c>
      <c r="O109" s="174">
        <f t="shared" si="75"/>
        <v>0</v>
      </c>
      <c r="P109" s="174">
        <f t="shared" si="75"/>
        <v>566000</v>
      </c>
      <c r="Q109" s="174">
        <f t="shared" si="75"/>
        <v>566000</v>
      </c>
      <c r="R109" s="174">
        <f t="shared" si="75"/>
        <v>-21844000</v>
      </c>
      <c r="S109" s="174">
        <f t="shared" si="75"/>
        <v>-21844000</v>
      </c>
      <c r="T109" s="174">
        <f t="shared" si="75"/>
        <v>-10859000</v>
      </c>
      <c r="U109" s="174">
        <f t="shared" si="75"/>
        <v>-10859000</v>
      </c>
      <c r="V109" s="174">
        <f t="shared" si="75"/>
        <v>-3180000</v>
      </c>
      <c r="W109" s="174">
        <f t="shared" si="75"/>
        <v>-3180000</v>
      </c>
      <c r="X109" s="174">
        <f t="shared" si="75"/>
        <v>-7074000</v>
      </c>
      <c r="Y109" s="174">
        <f t="shared" si="75"/>
        <v>-6749935</v>
      </c>
      <c r="Z109" s="174">
        <f t="shared" si="75"/>
        <v>-45339000</v>
      </c>
      <c r="AA109" s="174">
        <f t="shared" si="75"/>
        <v>-45339000</v>
      </c>
      <c r="AB109" s="174">
        <f t="shared" si="75"/>
        <v>-49428000</v>
      </c>
      <c r="AC109" s="174">
        <f t="shared" si="75"/>
        <v>-49428000</v>
      </c>
      <c r="AD109" s="174">
        <f t="shared" si="75"/>
        <v>-3256000</v>
      </c>
      <c r="AE109" s="174">
        <f t="shared" si="75"/>
        <v>-3256000</v>
      </c>
      <c r="AF109" s="174">
        <f t="shared" si="75"/>
        <v>-711000</v>
      </c>
      <c r="AG109" s="174">
        <f t="shared" si="75"/>
        <v>-711000</v>
      </c>
      <c r="AH109" s="174">
        <f t="shared" si="75"/>
        <v>-737000</v>
      </c>
      <c r="AI109" s="174">
        <f t="shared" si="75"/>
        <v>-737000</v>
      </c>
      <c r="AJ109" s="174">
        <f t="shared" si="75"/>
        <v>-2250000</v>
      </c>
      <c r="AK109" s="174">
        <f t="shared" si="75"/>
        <v>-2250000</v>
      </c>
      <c r="AL109" s="174">
        <f t="shared" si="75"/>
        <v>-16000000</v>
      </c>
      <c r="AM109" s="174">
        <f t="shared" si="75"/>
        <v>-16000000</v>
      </c>
      <c r="AN109" s="174">
        <f t="shared" si="75"/>
        <v>0</v>
      </c>
      <c r="AO109" s="174">
        <f t="shared" si="75"/>
        <v>0</v>
      </c>
      <c r="AP109" s="174">
        <f t="shared" si="75"/>
        <v>-13000000</v>
      </c>
      <c r="AQ109" s="174">
        <f t="shared" si="75"/>
        <v>-13041400</v>
      </c>
      <c r="AR109" s="174">
        <f t="shared" si="75"/>
        <v>0</v>
      </c>
      <c r="AS109" s="174">
        <f t="shared" si="75"/>
        <v>0</v>
      </c>
      <c r="AT109" s="174">
        <f t="shared" si="75"/>
        <v>-2000000</v>
      </c>
      <c r="AU109" s="174">
        <f t="shared" si="75"/>
        <v>-2000000</v>
      </c>
      <c r="AV109" s="174">
        <f t="shared" si="75"/>
        <v>-1800000</v>
      </c>
      <c r="AW109" s="174">
        <f t="shared" si="75"/>
        <v>-1800000</v>
      </c>
      <c r="AX109" s="174">
        <f>+AX101+AX94+AX82+AX74-AX33</f>
        <v>-600000</v>
      </c>
      <c r="AY109" s="174">
        <f>+AY101+AY94+AY82+AY74-AY33</f>
        <v>-600000</v>
      </c>
    </row>
    <row r="110" spans="2:51" x14ac:dyDescent="0.25">
      <c r="B110" s="172" t="s">
        <v>269</v>
      </c>
      <c r="C110" s="173"/>
      <c r="D110" s="174">
        <f>+D107+D100+D75-D57</f>
        <v>-6500000</v>
      </c>
      <c r="E110" s="174">
        <f>+E107+E100+E75-E57</f>
        <v>0</v>
      </c>
      <c r="F110" s="174">
        <f t="shared" si="74"/>
        <v>-6500000</v>
      </c>
      <c r="G110" s="174">
        <f>+G107+G100+G75-G57</f>
        <v>-7178900</v>
      </c>
      <c r="H110" s="174">
        <f>+H107+H100+H75-H57</f>
        <v>0</v>
      </c>
      <c r="I110" s="174">
        <f t="shared" ref="I110:AW110" si="76">+I107+I100+I75-I57</f>
        <v>-7178900</v>
      </c>
      <c r="J110" s="174">
        <f t="shared" si="76"/>
        <v>0</v>
      </c>
      <c r="K110" s="174">
        <f t="shared" si="76"/>
        <v>-524900</v>
      </c>
      <c r="L110" s="174">
        <f t="shared" si="76"/>
        <v>0</v>
      </c>
      <c r="M110" s="174">
        <f t="shared" si="76"/>
        <v>0</v>
      </c>
      <c r="N110" s="174">
        <f t="shared" si="76"/>
        <v>-6500000</v>
      </c>
      <c r="O110" s="174">
        <f t="shared" si="76"/>
        <v>-6500000</v>
      </c>
      <c r="P110" s="174">
        <f t="shared" si="76"/>
        <v>0</v>
      </c>
      <c r="Q110" s="174">
        <f t="shared" si="76"/>
        <v>0</v>
      </c>
      <c r="R110" s="174">
        <f t="shared" si="76"/>
        <v>0</v>
      </c>
      <c r="S110" s="174">
        <f t="shared" si="76"/>
        <v>0</v>
      </c>
      <c r="T110" s="174">
        <f t="shared" si="76"/>
        <v>0</v>
      </c>
      <c r="U110" s="174">
        <f t="shared" si="76"/>
        <v>0</v>
      </c>
      <c r="V110" s="174">
        <f t="shared" si="76"/>
        <v>0</v>
      </c>
      <c r="W110" s="174">
        <f t="shared" si="76"/>
        <v>0</v>
      </c>
      <c r="X110" s="174">
        <f t="shared" si="76"/>
        <v>0</v>
      </c>
      <c r="Y110" s="174">
        <f t="shared" si="76"/>
        <v>0</v>
      </c>
      <c r="Z110" s="174">
        <f t="shared" si="76"/>
        <v>0</v>
      </c>
      <c r="AA110" s="174">
        <f t="shared" si="76"/>
        <v>-154000</v>
      </c>
      <c r="AB110" s="174">
        <f t="shared" si="76"/>
        <v>0</v>
      </c>
      <c r="AC110" s="174">
        <f t="shared" si="76"/>
        <v>0</v>
      </c>
      <c r="AD110" s="174">
        <f t="shared" si="76"/>
        <v>0</v>
      </c>
      <c r="AE110" s="174">
        <f t="shared" si="76"/>
        <v>0</v>
      </c>
      <c r="AF110" s="174">
        <f t="shared" si="76"/>
        <v>0</v>
      </c>
      <c r="AG110" s="174">
        <f t="shared" si="76"/>
        <v>0</v>
      </c>
      <c r="AH110" s="174">
        <f t="shared" si="76"/>
        <v>0</v>
      </c>
      <c r="AI110" s="174">
        <f t="shared" si="76"/>
        <v>0</v>
      </c>
      <c r="AJ110" s="174">
        <f t="shared" si="76"/>
        <v>0</v>
      </c>
      <c r="AK110" s="174">
        <f t="shared" si="76"/>
        <v>0</v>
      </c>
      <c r="AL110" s="174">
        <f t="shared" si="76"/>
        <v>0</v>
      </c>
      <c r="AM110" s="174">
        <f t="shared" si="76"/>
        <v>0</v>
      </c>
      <c r="AN110" s="174">
        <f t="shared" si="76"/>
        <v>0</v>
      </c>
      <c r="AO110" s="174">
        <f t="shared" si="76"/>
        <v>0</v>
      </c>
      <c r="AP110" s="174">
        <f t="shared" si="76"/>
        <v>0</v>
      </c>
      <c r="AQ110" s="174">
        <f t="shared" si="76"/>
        <v>0</v>
      </c>
      <c r="AR110" s="174">
        <f t="shared" si="76"/>
        <v>0</v>
      </c>
      <c r="AS110" s="174">
        <f t="shared" si="76"/>
        <v>0</v>
      </c>
      <c r="AT110" s="174">
        <f t="shared" si="76"/>
        <v>0</v>
      </c>
      <c r="AU110" s="174">
        <f t="shared" si="76"/>
        <v>0</v>
      </c>
      <c r="AV110" s="174">
        <f t="shared" si="76"/>
        <v>0</v>
      </c>
      <c r="AW110" s="174">
        <f t="shared" si="76"/>
        <v>0</v>
      </c>
      <c r="AX110" s="174">
        <f>+AX107+AX100+AX75-AX57</f>
        <v>0</v>
      </c>
      <c r="AY110" s="174">
        <f>+AY107+AY100+AY75-AY57</f>
        <v>0</v>
      </c>
    </row>
    <row r="111" spans="2:51" hidden="1" x14ac:dyDescent="0.25">
      <c r="B111" s="175" t="s">
        <v>581</v>
      </c>
      <c r="C111" s="176" t="s">
        <v>277</v>
      </c>
      <c r="D111" s="135">
        <f>+J111+L111+N111+P111+R111+T111+V111+X111+Z111+AB111+AD111+AF111+AH111+AJ111</f>
        <v>0</v>
      </c>
      <c r="E111" s="136">
        <f>+AL111+AN111+AP111+AT111+AV111+AX111+AR111</f>
        <v>0</v>
      </c>
      <c r="F111" s="137">
        <f t="shared" si="74"/>
        <v>0</v>
      </c>
      <c r="G111" s="135">
        <f>+M111+O111+Q111+S111+U111+W111+Y111+AA111+AC111+AE111+AG111+AI111+AK111+AM111</f>
        <v>0</v>
      </c>
      <c r="H111" s="136">
        <f>+AO111+AQ111+AS111+AW111+AY111+AZ111+AU111</f>
        <v>0</v>
      </c>
      <c r="I111" s="137">
        <f t="shared" ref="I111:I116" si="77">+H111+G111</f>
        <v>0</v>
      </c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</row>
    <row r="112" spans="2:51" hidden="1" x14ac:dyDescent="0.25">
      <c r="B112" s="177" t="s">
        <v>582</v>
      </c>
      <c r="C112" s="176" t="s">
        <v>287</v>
      </c>
      <c r="D112" s="135">
        <f>+J112+L112+N112+P112+R112+T112+V112+X112+Z112+AB112+AD112+AF112+AH112+AJ112</f>
        <v>0</v>
      </c>
      <c r="E112" s="136">
        <f>+AL112+AN112+AP112+AT112+AV112+AX112+AR112</f>
        <v>0</v>
      </c>
      <c r="F112" s="137">
        <f t="shared" si="74"/>
        <v>0</v>
      </c>
      <c r="G112" s="135">
        <f>+M112+O112+Q112+S112+U112+W112+Y112+AA112+AC112+AE112+AG112+AI112+AK112+AM112</f>
        <v>0</v>
      </c>
      <c r="H112" s="136">
        <f>+AO112+AQ112+AS112+AW112+AY112+AZ112+AU112</f>
        <v>0</v>
      </c>
      <c r="I112" s="137">
        <f t="shared" si="77"/>
        <v>0</v>
      </c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</row>
    <row r="113" spans="2:52" ht="25.5" x14ac:dyDescent="0.25">
      <c r="B113" s="139" t="s">
        <v>288</v>
      </c>
      <c r="C113" s="139" t="s">
        <v>289</v>
      </c>
      <c r="D113" s="135">
        <f>+J113+L113+N113+P113+R113+T113+V113+X113+Z113+AB113+AD113+AF113+AH113+AJ113-E113</f>
        <v>175867781</v>
      </c>
      <c r="E113" s="136">
        <v>25704476</v>
      </c>
      <c r="F113" s="137">
        <f t="shared" si="74"/>
        <v>201572257</v>
      </c>
      <c r="G113" s="135">
        <f>+K113+M113+O113+Q113+S113+U113+W113+Y113+AA113+AC113+AE113+AG113+AI113+AK113-H113</f>
        <v>175867781</v>
      </c>
      <c r="H113" s="136">
        <v>25704476</v>
      </c>
      <c r="I113" s="137">
        <f t="shared" si="77"/>
        <v>201572257</v>
      </c>
      <c r="J113" s="135">
        <f>174693851+25704476+1173930</f>
        <v>201572257</v>
      </c>
      <c r="K113" s="135">
        <f>174693851+25704476+1173930</f>
        <v>201572257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263"/>
    </row>
    <row r="114" spans="2:52" ht="21.75" customHeight="1" x14ac:dyDescent="0.25">
      <c r="B114" s="139" t="s">
        <v>583</v>
      </c>
      <c r="C114" s="139" t="s">
        <v>289</v>
      </c>
      <c r="D114" s="135">
        <f>+J114+L114+N114+P114+R114+T114+V114+X114+Z114+AB114+AD114+AF114+AH114+AJ114</f>
        <v>4599644</v>
      </c>
      <c r="E114" s="136">
        <f>+AL114+AN114+AP114+AT114+AV114+AX114+AR114</f>
        <v>0</v>
      </c>
      <c r="F114" s="137">
        <f t="shared" si="74"/>
        <v>4599644</v>
      </c>
      <c r="G114" s="135">
        <f>+K114+M114+O114+Q114+S114+U114+W114+Y114+AA114+AC114+AE114+AG114+AI114+AK114</f>
        <v>4599644</v>
      </c>
      <c r="H114" s="136">
        <f>+AM114+AO114+AQ114+AU114+AW114+AY114+AS114</f>
        <v>0</v>
      </c>
      <c r="I114" s="137">
        <f t="shared" si="77"/>
        <v>4599644</v>
      </c>
      <c r="J114" s="135">
        <f>4244638+355006</f>
        <v>4599644</v>
      </c>
      <c r="K114" s="135">
        <f>4244638+355006</f>
        <v>4599644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263"/>
    </row>
    <row r="115" spans="2:52" hidden="1" x14ac:dyDescent="0.25">
      <c r="B115" s="139" t="s">
        <v>291</v>
      </c>
      <c r="C115" s="139" t="s">
        <v>292</v>
      </c>
      <c r="D115" s="135">
        <f>+J115+L115+N115+P115+R115+T115+V115+X115+Z115+AB115+AD115+AF115+AH115+AJ115</f>
        <v>0</v>
      </c>
      <c r="E115" s="136">
        <f>+AL115+AN115+AP115+AT115+AV115+AX115+AR115</f>
        <v>0</v>
      </c>
      <c r="F115" s="137">
        <f t="shared" si="74"/>
        <v>0</v>
      </c>
      <c r="G115" s="135">
        <f>+L115+N115+P115+R115+T115+V115+X115+Z115+AB115+AD115+AF115+AH115+AJ115+AL115</f>
        <v>0</v>
      </c>
      <c r="H115" s="136">
        <f>+AN115+AP115+AR115+AV115+AX115+AZ115+AT115</f>
        <v>0</v>
      </c>
      <c r="I115" s="137">
        <f t="shared" si="77"/>
        <v>0</v>
      </c>
      <c r="J115" s="137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</row>
    <row r="116" spans="2:52" hidden="1" x14ac:dyDescent="0.25">
      <c r="B116" s="139" t="s">
        <v>584</v>
      </c>
      <c r="C116" s="139" t="s">
        <v>292</v>
      </c>
      <c r="D116" s="135">
        <f>+J116+L116+N116+P116+R116+T116+V116+X116+Z116+AB116+AD116+AF116+AH116+AJ116</f>
        <v>0</v>
      </c>
      <c r="E116" s="136">
        <f>+AL116+AN116+AP116+AT116+AV116+AX116+AR116</f>
        <v>0</v>
      </c>
      <c r="F116" s="137">
        <f t="shared" si="74"/>
        <v>0</v>
      </c>
      <c r="G116" s="135">
        <f>+L116+N116+P116+R116+T116+V116+X116+Z116+AB116+AD116+AF116+AH116+AJ116+AL116</f>
        <v>0</v>
      </c>
      <c r="H116" s="136">
        <f>+AN116+AP116+AR116+AV116+AX116+AZ116+AT116</f>
        <v>0</v>
      </c>
      <c r="I116" s="137">
        <f t="shared" si="77"/>
        <v>0</v>
      </c>
      <c r="J116" s="137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</row>
    <row r="117" spans="2:52" x14ac:dyDescent="0.25">
      <c r="B117" s="176" t="s">
        <v>294</v>
      </c>
      <c r="C117" s="176" t="s">
        <v>295</v>
      </c>
      <c r="D117" s="137">
        <f>SUM(D113:D116)</f>
        <v>180467425</v>
      </c>
      <c r="E117" s="137">
        <f>SUM(E113:E116)</f>
        <v>25704476</v>
      </c>
      <c r="F117" s="137">
        <f>SUM(F113:F116)</f>
        <v>206171901</v>
      </c>
      <c r="G117" s="137">
        <f t="shared" ref="G117:I117" si="78">SUM(G113:G116)</f>
        <v>180467425</v>
      </c>
      <c r="H117" s="137">
        <f t="shared" si="78"/>
        <v>25704476</v>
      </c>
      <c r="I117" s="137">
        <f t="shared" si="78"/>
        <v>206171901</v>
      </c>
      <c r="J117" s="137">
        <f t="shared" ref="J117" si="79">SUM(J113:J116)</f>
        <v>206171901</v>
      </c>
      <c r="K117" s="137">
        <f t="shared" ref="K117:AY117" si="80">SUM(K113:K116)</f>
        <v>206171901</v>
      </c>
      <c r="L117" s="137">
        <f t="shared" si="80"/>
        <v>0</v>
      </c>
      <c r="M117" s="137">
        <f t="shared" si="80"/>
        <v>0</v>
      </c>
      <c r="N117" s="137">
        <f t="shared" si="80"/>
        <v>0</v>
      </c>
      <c r="O117" s="137">
        <f t="shared" si="80"/>
        <v>0</v>
      </c>
      <c r="P117" s="137">
        <f t="shared" si="80"/>
        <v>0</v>
      </c>
      <c r="Q117" s="137">
        <f t="shared" si="80"/>
        <v>0</v>
      </c>
      <c r="R117" s="137">
        <f t="shared" si="80"/>
        <v>0</v>
      </c>
      <c r="S117" s="137">
        <f t="shared" si="80"/>
        <v>0</v>
      </c>
      <c r="T117" s="137">
        <f t="shared" si="80"/>
        <v>0</v>
      </c>
      <c r="U117" s="137">
        <f t="shared" si="80"/>
        <v>0</v>
      </c>
      <c r="V117" s="137">
        <f t="shared" si="80"/>
        <v>0</v>
      </c>
      <c r="W117" s="137">
        <f t="shared" si="80"/>
        <v>0</v>
      </c>
      <c r="X117" s="137">
        <f t="shared" si="80"/>
        <v>0</v>
      </c>
      <c r="Y117" s="137">
        <f t="shared" si="80"/>
        <v>0</v>
      </c>
      <c r="Z117" s="137">
        <f t="shared" si="80"/>
        <v>0</v>
      </c>
      <c r="AA117" s="137">
        <f t="shared" si="80"/>
        <v>0</v>
      </c>
      <c r="AB117" s="137">
        <f t="shared" si="80"/>
        <v>0</v>
      </c>
      <c r="AC117" s="137">
        <f t="shared" si="80"/>
        <v>0</v>
      </c>
      <c r="AD117" s="137">
        <f t="shared" si="80"/>
        <v>0</v>
      </c>
      <c r="AE117" s="137">
        <f t="shared" si="80"/>
        <v>0</v>
      </c>
      <c r="AF117" s="137">
        <f t="shared" si="80"/>
        <v>0</v>
      </c>
      <c r="AG117" s="137">
        <f t="shared" si="80"/>
        <v>0</v>
      </c>
      <c r="AH117" s="137">
        <f t="shared" si="80"/>
        <v>0</v>
      </c>
      <c r="AI117" s="137">
        <f t="shared" si="80"/>
        <v>0</v>
      </c>
      <c r="AJ117" s="137">
        <f t="shared" si="80"/>
        <v>0</v>
      </c>
      <c r="AK117" s="137">
        <f t="shared" si="80"/>
        <v>0</v>
      </c>
      <c r="AL117" s="137">
        <f t="shared" si="80"/>
        <v>0</v>
      </c>
      <c r="AM117" s="137">
        <f t="shared" si="80"/>
        <v>0</v>
      </c>
      <c r="AN117" s="137">
        <f t="shared" si="80"/>
        <v>0</v>
      </c>
      <c r="AO117" s="137">
        <f t="shared" si="80"/>
        <v>0</v>
      </c>
      <c r="AP117" s="137">
        <f t="shared" si="80"/>
        <v>0</v>
      </c>
      <c r="AQ117" s="137">
        <f t="shared" si="80"/>
        <v>0</v>
      </c>
      <c r="AR117" s="137">
        <f t="shared" si="80"/>
        <v>0</v>
      </c>
      <c r="AS117" s="137">
        <f t="shared" si="80"/>
        <v>0</v>
      </c>
      <c r="AT117" s="137">
        <f t="shared" si="80"/>
        <v>0</v>
      </c>
      <c r="AU117" s="137">
        <f t="shared" si="80"/>
        <v>0</v>
      </c>
      <c r="AV117" s="137">
        <f t="shared" si="80"/>
        <v>0</v>
      </c>
      <c r="AW117" s="137">
        <f t="shared" si="80"/>
        <v>0</v>
      </c>
      <c r="AX117" s="137">
        <f t="shared" si="80"/>
        <v>0</v>
      </c>
      <c r="AY117" s="137">
        <f t="shared" si="80"/>
        <v>0</v>
      </c>
    </row>
    <row r="118" spans="2:52" hidden="1" x14ac:dyDescent="0.25">
      <c r="B118" s="160" t="s">
        <v>296</v>
      </c>
      <c r="C118" s="139" t="s">
        <v>297</v>
      </c>
      <c r="D118" s="135">
        <f>+J118+L118+N118+P118+R118+T118+V118+X118+Z118+AB118+AD118+AF118+AH118+AJ118</f>
        <v>0</v>
      </c>
      <c r="E118" s="136">
        <f t="shared" ref="E118:E125" si="81">+AL118+AN118+AP118+AT118+AV118+AX118+AR118</f>
        <v>0</v>
      </c>
      <c r="F118" s="137">
        <f t="shared" ref="F118:F125" si="82">+E118+D118</f>
        <v>0</v>
      </c>
      <c r="G118" s="135">
        <f>+L118+N118+P118+R118+T118+V118+X118+Z118+AB118+AD118+AF118+AH118+AJ118+AL118</f>
        <v>0</v>
      </c>
      <c r="H118" s="136">
        <f t="shared" ref="H118:H125" si="83">+AN118+AP118+AR118+AV118+AX118+AZ118+AT118</f>
        <v>0</v>
      </c>
      <c r="I118" s="137">
        <f t="shared" ref="I118:I125" si="84">+H118+G118</f>
        <v>0</v>
      </c>
      <c r="J118" s="136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</row>
    <row r="119" spans="2:52" hidden="1" x14ac:dyDescent="0.25">
      <c r="B119" s="160" t="s">
        <v>298</v>
      </c>
      <c r="C119" s="139" t="s">
        <v>299</v>
      </c>
      <c r="D119" s="135">
        <f>+J119+L119+N119+P119+R119+T119+V119+X119+Z119+AB119+AD119+AF119+AH119+AJ119</f>
        <v>0</v>
      </c>
      <c r="E119" s="136">
        <f t="shared" si="81"/>
        <v>0</v>
      </c>
      <c r="F119" s="137">
        <f t="shared" si="82"/>
        <v>0</v>
      </c>
      <c r="G119" s="135">
        <f>+L119+N119+P119+R119+T119+V119+X119+Z119+AB119+AD119+AF119+AH119+AJ119+AL119</f>
        <v>0</v>
      </c>
      <c r="H119" s="136">
        <f t="shared" si="83"/>
        <v>0</v>
      </c>
      <c r="I119" s="137">
        <f t="shared" si="84"/>
        <v>0</v>
      </c>
      <c r="J119" s="136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</row>
    <row r="120" spans="2:52" hidden="1" x14ac:dyDescent="0.25">
      <c r="B120" s="160" t="s">
        <v>300</v>
      </c>
      <c r="C120" s="139" t="s">
        <v>301</v>
      </c>
      <c r="D120" s="135">
        <f>+J120+L120+N120+P120+R120+T120+V120+X120+Z120+AB120+AD120+AF120+AH120+AJ120</f>
        <v>0</v>
      </c>
      <c r="E120" s="136">
        <f t="shared" si="81"/>
        <v>0</v>
      </c>
      <c r="F120" s="137">
        <f t="shared" si="82"/>
        <v>0</v>
      </c>
      <c r="G120" s="135">
        <f>+L120+N120+P120+R120+T120+V120+X120+Z120+AB120+AD120+AF120+AH120+AJ120+AL120</f>
        <v>0</v>
      </c>
      <c r="H120" s="136">
        <f t="shared" si="83"/>
        <v>0</v>
      </c>
      <c r="I120" s="137">
        <f t="shared" si="84"/>
        <v>0</v>
      </c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</row>
    <row r="121" spans="2:52" hidden="1" x14ac:dyDescent="0.25">
      <c r="B121" s="178" t="s">
        <v>585</v>
      </c>
      <c r="C121" s="139"/>
      <c r="D121" s="135"/>
      <c r="E121" s="136">
        <f t="shared" si="81"/>
        <v>0</v>
      </c>
      <c r="F121" s="137">
        <f t="shared" si="82"/>
        <v>0</v>
      </c>
      <c r="G121" s="135"/>
      <c r="H121" s="136">
        <f t="shared" si="83"/>
        <v>0</v>
      </c>
      <c r="I121" s="137">
        <f t="shared" si="84"/>
        <v>0</v>
      </c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</row>
    <row r="122" spans="2:52" hidden="1" x14ac:dyDescent="0.25">
      <c r="B122" s="179" t="s">
        <v>586</v>
      </c>
      <c r="C122" s="139"/>
      <c r="D122" s="135">
        <f>+D120-D121</f>
        <v>0</v>
      </c>
      <c r="E122" s="136">
        <f t="shared" si="81"/>
        <v>0</v>
      </c>
      <c r="F122" s="137">
        <f t="shared" si="82"/>
        <v>0</v>
      </c>
      <c r="G122" s="135">
        <f t="shared" ref="G122" si="85">+G120-G121</f>
        <v>0</v>
      </c>
      <c r="H122" s="136">
        <f t="shared" si="83"/>
        <v>0</v>
      </c>
      <c r="I122" s="137">
        <f t="shared" si="84"/>
        <v>0</v>
      </c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</row>
    <row r="123" spans="2:52" hidden="1" x14ac:dyDescent="0.25">
      <c r="B123" s="160" t="s">
        <v>302</v>
      </c>
      <c r="C123" s="139" t="s">
        <v>303</v>
      </c>
      <c r="D123" s="135">
        <f>+J123+L123+N123+P123+R123+T123+V123+X123+Z123+AB123+AD123+AF123+AH123+AJ123</f>
        <v>0</v>
      </c>
      <c r="E123" s="136">
        <f t="shared" si="81"/>
        <v>0</v>
      </c>
      <c r="F123" s="137">
        <f t="shared" si="82"/>
        <v>0</v>
      </c>
      <c r="G123" s="135">
        <f>+L123+N123+P123+R123+T123+V123+X123+Z123+AB123+AD123+AF123+AH123+AJ123+AL123</f>
        <v>0</v>
      </c>
      <c r="H123" s="136">
        <f t="shared" si="83"/>
        <v>0</v>
      </c>
      <c r="I123" s="137">
        <f t="shared" si="84"/>
        <v>0</v>
      </c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</row>
    <row r="124" spans="2:52" hidden="1" x14ac:dyDescent="0.25">
      <c r="B124" s="156" t="s">
        <v>304</v>
      </c>
      <c r="C124" s="139" t="s">
        <v>305</v>
      </c>
      <c r="D124" s="135">
        <f>+J124+L124+N124+P124+R124+T124+V124+X124+Z124+AB124+AD124+AF124+AH124+AJ124</f>
        <v>0</v>
      </c>
      <c r="E124" s="136">
        <f t="shared" si="81"/>
        <v>0</v>
      </c>
      <c r="F124" s="137">
        <f t="shared" si="82"/>
        <v>0</v>
      </c>
      <c r="G124" s="135">
        <f>+L124+N124+P124+R124+T124+V124+X124+Z124+AB124+AD124+AF124+AH124+AJ124+AL124</f>
        <v>0</v>
      </c>
      <c r="H124" s="136">
        <f t="shared" si="83"/>
        <v>0</v>
      </c>
      <c r="I124" s="137">
        <f t="shared" si="84"/>
        <v>0</v>
      </c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</row>
    <row r="125" spans="2:52" hidden="1" x14ac:dyDescent="0.25">
      <c r="B125" s="156" t="s">
        <v>306</v>
      </c>
      <c r="C125" s="139" t="s">
        <v>307</v>
      </c>
      <c r="D125" s="135">
        <f>+J125+L125+N125+P125+R125+T125+V125+X125+Z125+AB125+AD125+AF125+AH125+AJ125</f>
        <v>0</v>
      </c>
      <c r="E125" s="136">
        <f t="shared" si="81"/>
        <v>0</v>
      </c>
      <c r="F125" s="137">
        <f t="shared" si="82"/>
        <v>0</v>
      </c>
      <c r="G125" s="135">
        <f>+L125+N125+P125+R125+T125+V125+X125+Z125+AB125+AD125+AF125+AH125+AJ125+AL125</f>
        <v>0</v>
      </c>
      <c r="H125" s="136">
        <f t="shared" si="83"/>
        <v>0</v>
      </c>
      <c r="I125" s="137">
        <f t="shared" si="84"/>
        <v>0</v>
      </c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</row>
    <row r="126" spans="2:52" s="140" customFormat="1" ht="12.75" x14ac:dyDescent="0.2">
      <c r="B126" s="147" t="s">
        <v>308</v>
      </c>
      <c r="C126" s="144" t="s">
        <v>309</v>
      </c>
      <c r="D126" s="143">
        <f t="shared" ref="D126:F126" si="86">SUM(D118:D125)+D117+D112+D111</f>
        <v>180467425</v>
      </c>
      <c r="E126" s="143">
        <f t="shared" si="86"/>
        <v>25704476</v>
      </c>
      <c r="F126" s="143">
        <f t="shared" si="86"/>
        <v>206171901</v>
      </c>
      <c r="G126" s="143">
        <f t="shared" ref="G126:I126" si="87">SUM(G118:G125)+G117+G112+G111</f>
        <v>180467425</v>
      </c>
      <c r="H126" s="143">
        <f t="shared" si="87"/>
        <v>25704476</v>
      </c>
      <c r="I126" s="143">
        <f t="shared" si="87"/>
        <v>206171901</v>
      </c>
      <c r="J126" s="143">
        <f t="shared" ref="J126" si="88">SUM(J118:J125)+J117+J112+J111</f>
        <v>206171901</v>
      </c>
      <c r="K126" s="143">
        <f t="shared" ref="K126:AY126" si="89">SUM(K118:K125)+K117+K112+K111</f>
        <v>206171901</v>
      </c>
      <c r="L126" s="143">
        <f t="shared" si="89"/>
        <v>0</v>
      </c>
      <c r="M126" s="143">
        <f t="shared" si="89"/>
        <v>0</v>
      </c>
      <c r="N126" s="143">
        <f t="shared" si="89"/>
        <v>0</v>
      </c>
      <c r="O126" s="143">
        <f t="shared" si="89"/>
        <v>0</v>
      </c>
      <c r="P126" s="143">
        <f t="shared" si="89"/>
        <v>0</v>
      </c>
      <c r="Q126" s="143">
        <f t="shared" si="89"/>
        <v>0</v>
      </c>
      <c r="R126" s="143">
        <f t="shared" si="89"/>
        <v>0</v>
      </c>
      <c r="S126" s="143">
        <f t="shared" si="89"/>
        <v>0</v>
      </c>
      <c r="T126" s="143">
        <f t="shared" si="89"/>
        <v>0</v>
      </c>
      <c r="U126" s="143">
        <f t="shared" si="89"/>
        <v>0</v>
      </c>
      <c r="V126" s="143">
        <f t="shared" si="89"/>
        <v>0</v>
      </c>
      <c r="W126" s="143">
        <f t="shared" si="89"/>
        <v>0</v>
      </c>
      <c r="X126" s="143">
        <f t="shared" si="89"/>
        <v>0</v>
      </c>
      <c r="Y126" s="143">
        <f t="shared" si="89"/>
        <v>0</v>
      </c>
      <c r="Z126" s="143">
        <f t="shared" si="89"/>
        <v>0</v>
      </c>
      <c r="AA126" s="143">
        <f t="shared" si="89"/>
        <v>0</v>
      </c>
      <c r="AB126" s="143">
        <f t="shared" si="89"/>
        <v>0</v>
      </c>
      <c r="AC126" s="143">
        <f t="shared" si="89"/>
        <v>0</v>
      </c>
      <c r="AD126" s="143">
        <f t="shared" si="89"/>
        <v>0</v>
      </c>
      <c r="AE126" s="143">
        <f t="shared" si="89"/>
        <v>0</v>
      </c>
      <c r="AF126" s="143">
        <f t="shared" si="89"/>
        <v>0</v>
      </c>
      <c r="AG126" s="143">
        <f t="shared" si="89"/>
        <v>0</v>
      </c>
      <c r="AH126" s="143">
        <f t="shared" si="89"/>
        <v>0</v>
      </c>
      <c r="AI126" s="143">
        <f t="shared" si="89"/>
        <v>0</v>
      </c>
      <c r="AJ126" s="143">
        <f t="shared" si="89"/>
        <v>0</v>
      </c>
      <c r="AK126" s="143">
        <f t="shared" si="89"/>
        <v>0</v>
      </c>
      <c r="AL126" s="143">
        <f t="shared" si="89"/>
        <v>0</v>
      </c>
      <c r="AM126" s="143">
        <f t="shared" si="89"/>
        <v>0</v>
      </c>
      <c r="AN126" s="143">
        <f t="shared" si="89"/>
        <v>0</v>
      </c>
      <c r="AO126" s="143">
        <f t="shared" si="89"/>
        <v>0</v>
      </c>
      <c r="AP126" s="143">
        <f t="shared" si="89"/>
        <v>0</v>
      </c>
      <c r="AQ126" s="143">
        <f t="shared" si="89"/>
        <v>0</v>
      </c>
      <c r="AR126" s="143">
        <f t="shared" si="89"/>
        <v>0</v>
      </c>
      <c r="AS126" s="143">
        <f t="shared" si="89"/>
        <v>0</v>
      </c>
      <c r="AT126" s="143">
        <f t="shared" si="89"/>
        <v>0</v>
      </c>
      <c r="AU126" s="143">
        <f t="shared" si="89"/>
        <v>0</v>
      </c>
      <c r="AV126" s="143">
        <f t="shared" si="89"/>
        <v>0</v>
      </c>
      <c r="AW126" s="143">
        <f t="shared" si="89"/>
        <v>0</v>
      </c>
      <c r="AX126" s="143">
        <f t="shared" si="89"/>
        <v>0</v>
      </c>
      <c r="AY126" s="143">
        <f t="shared" si="89"/>
        <v>0</v>
      </c>
    </row>
    <row r="127" spans="2:52" hidden="1" x14ac:dyDescent="0.25">
      <c r="B127" s="160" t="s">
        <v>310</v>
      </c>
      <c r="C127" s="139" t="s">
        <v>311</v>
      </c>
      <c r="D127" s="135">
        <f>+J127+L127+N127+P127+R127+T127+V127+X127+Z127+AB127+AD127+AF127+AH127+AJ127</f>
        <v>0</v>
      </c>
      <c r="E127" s="136">
        <f>+AL127+AN127+AP127+AT127+AV127+AX127+AR127</f>
        <v>0</v>
      </c>
      <c r="F127" s="137">
        <f>+E127+D127</f>
        <v>0</v>
      </c>
      <c r="G127" s="135">
        <f>+L127+N127+P127+R127+T127+V127+X127+Z127+AB127+AD127+AF127+AH127+AJ127+AL127</f>
        <v>0</v>
      </c>
      <c r="H127" s="136">
        <f>+AN127+AP127+AR127+AV127+AX127+AZ127+AT127</f>
        <v>0</v>
      </c>
      <c r="I127" s="137">
        <f t="shared" ref="I127:I129" si="90">+H127+G127</f>
        <v>0</v>
      </c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</row>
    <row r="128" spans="2:52" hidden="1" x14ac:dyDescent="0.25">
      <c r="B128" s="156" t="s">
        <v>312</v>
      </c>
      <c r="C128" s="139" t="s">
        <v>313</v>
      </c>
      <c r="D128" s="135">
        <f>+J128+L128+N128+P128+R128+T128+V128+X128+Z128+AB128+AD128+AF128+AH128+AJ128</f>
        <v>0</v>
      </c>
      <c r="E128" s="136">
        <f>+AL128+AN128+AP128+AT128+AV128+AX128+AR128</f>
        <v>0</v>
      </c>
      <c r="F128" s="137">
        <f>+E128+D128</f>
        <v>0</v>
      </c>
      <c r="G128" s="135">
        <f>+L128+N128+P128+R128+T128+V128+X128+Z128+AB128+AD128+AF128+AH128+AJ128+AL128</f>
        <v>0</v>
      </c>
      <c r="H128" s="136">
        <f>+AN128+AP128+AR128+AV128+AX128+AZ128+AT128</f>
        <v>0</v>
      </c>
      <c r="I128" s="137">
        <f t="shared" si="90"/>
        <v>0</v>
      </c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</row>
    <row r="129" spans="2:57" hidden="1" x14ac:dyDescent="0.25">
      <c r="B129" s="156" t="s">
        <v>314</v>
      </c>
      <c r="C129" s="139" t="s">
        <v>315</v>
      </c>
      <c r="D129" s="135">
        <f>+J129+L129+N129+P129+R129+T129+V129+X129+Z129+AB129+AD129+AF129+AH129+AJ129</f>
        <v>0</v>
      </c>
      <c r="E129" s="136">
        <f>+AL129+AN129+AP129+AT129+AV129+AX129+AR129</f>
        <v>0</v>
      </c>
      <c r="F129" s="137">
        <f>+E129+D129</f>
        <v>0</v>
      </c>
      <c r="G129" s="135">
        <f>+L129+N129+P129+R129+T129+V129+X129+Z129+AB129+AD129+AF129+AH129+AJ129+AL129</f>
        <v>0</v>
      </c>
      <c r="H129" s="136">
        <f>+AN129+AP129+AR129+AV129+AX129+AZ129+AT129</f>
        <v>0</v>
      </c>
      <c r="I129" s="137">
        <f t="shared" si="90"/>
        <v>0</v>
      </c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</row>
    <row r="130" spans="2:57" x14ac:dyDescent="0.25">
      <c r="B130" s="163" t="s">
        <v>316</v>
      </c>
      <c r="C130" s="164" t="s">
        <v>317</v>
      </c>
      <c r="D130" s="159">
        <f t="shared" ref="D130:F130" si="91">+D128+D127+D126+D129</f>
        <v>180467425</v>
      </c>
      <c r="E130" s="159">
        <f t="shared" si="91"/>
        <v>25704476</v>
      </c>
      <c r="F130" s="159">
        <f t="shared" si="91"/>
        <v>206171901</v>
      </c>
      <c r="G130" s="159">
        <f t="shared" ref="G130:I130" si="92">+G128+G127+G126+G129</f>
        <v>180467425</v>
      </c>
      <c r="H130" s="159">
        <f t="shared" si="92"/>
        <v>25704476</v>
      </c>
      <c r="I130" s="159">
        <f t="shared" si="92"/>
        <v>206171901</v>
      </c>
      <c r="J130" s="159">
        <f t="shared" ref="J130" si="93">+J128+J127+J126+J129</f>
        <v>206171901</v>
      </c>
      <c r="K130" s="159">
        <f t="shared" ref="K130:AY130" si="94">+K128+K127+K126+K129</f>
        <v>206171901</v>
      </c>
      <c r="L130" s="159">
        <f t="shared" si="94"/>
        <v>0</v>
      </c>
      <c r="M130" s="159">
        <f t="shared" si="94"/>
        <v>0</v>
      </c>
      <c r="N130" s="159">
        <f t="shared" si="94"/>
        <v>0</v>
      </c>
      <c r="O130" s="159">
        <f t="shared" si="94"/>
        <v>0</v>
      </c>
      <c r="P130" s="159">
        <f t="shared" si="94"/>
        <v>0</v>
      </c>
      <c r="Q130" s="159">
        <f t="shared" si="94"/>
        <v>0</v>
      </c>
      <c r="R130" s="159">
        <f t="shared" si="94"/>
        <v>0</v>
      </c>
      <c r="S130" s="159">
        <f t="shared" si="94"/>
        <v>0</v>
      </c>
      <c r="T130" s="159">
        <f t="shared" si="94"/>
        <v>0</v>
      </c>
      <c r="U130" s="159">
        <f t="shared" si="94"/>
        <v>0</v>
      </c>
      <c r="V130" s="159">
        <f t="shared" si="94"/>
        <v>0</v>
      </c>
      <c r="W130" s="159">
        <f t="shared" si="94"/>
        <v>0</v>
      </c>
      <c r="X130" s="159">
        <f t="shared" si="94"/>
        <v>0</v>
      </c>
      <c r="Y130" s="159">
        <f t="shared" si="94"/>
        <v>0</v>
      </c>
      <c r="Z130" s="159">
        <f t="shared" si="94"/>
        <v>0</v>
      </c>
      <c r="AA130" s="159">
        <f t="shared" si="94"/>
        <v>0</v>
      </c>
      <c r="AB130" s="159">
        <f t="shared" si="94"/>
        <v>0</v>
      </c>
      <c r="AC130" s="159">
        <f t="shared" si="94"/>
        <v>0</v>
      </c>
      <c r="AD130" s="159">
        <f t="shared" si="94"/>
        <v>0</v>
      </c>
      <c r="AE130" s="159">
        <f t="shared" si="94"/>
        <v>0</v>
      </c>
      <c r="AF130" s="159">
        <f t="shared" si="94"/>
        <v>0</v>
      </c>
      <c r="AG130" s="159">
        <f t="shared" si="94"/>
        <v>0</v>
      </c>
      <c r="AH130" s="159">
        <f t="shared" si="94"/>
        <v>0</v>
      </c>
      <c r="AI130" s="159">
        <f t="shared" si="94"/>
        <v>0</v>
      </c>
      <c r="AJ130" s="159">
        <f t="shared" si="94"/>
        <v>0</v>
      </c>
      <c r="AK130" s="159">
        <f t="shared" si="94"/>
        <v>0</v>
      </c>
      <c r="AL130" s="159">
        <f t="shared" si="94"/>
        <v>0</v>
      </c>
      <c r="AM130" s="159">
        <f t="shared" si="94"/>
        <v>0</v>
      </c>
      <c r="AN130" s="159">
        <f t="shared" si="94"/>
        <v>0</v>
      </c>
      <c r="AO130" s="159">
        <f t="shared" si="94"/>
        <v>0</v>
      </c>
      <c r="AP130" s="159">
        <f t="shared" si="94"/>
        <v>0</v>
      </c>
      <c r="AQ130" s="159">
        <f t="shared" si="94"/>
        <v>0</v>
      </c>
      <c r="AR130" s="159">
        <f t="shared" si="94"/>
        <v>0</v>
      </c>
      <c r="AS130" s="159">
        <f t="shared" si="94"/>
        <v>0</v>
      </c>
      <c r="AT130" s="159">
        <f t="shared" si="94"/>
        <v>0</v>
      </c>
      <c r="AU130" s="159">
        <f t="shared" si="94"/>
        <v>0</v>
      </c>
      <c r="AV130" s="159">
        <f t="shared" si="94"/>
        <v>0</v>
      </c>
      <c r="AW130" s="159">
        <f t="shared" si="94"/>
        <v>0</v>
      </c>
      <c r="AX130" s="159">
        <f t="shared" si="94"/>
        <v>0</v>
      </c>
      <c r="AY130" s="159">
        <f t="shared" si="94"/>
        <v>0</v>
      </c>
    </row>
    <row r="131" spans="2:57" s="122" customFormat="1" ht="12.75" x14ac:dyDescent="0.2">
      <c r="B131" s="166" t="s">
        <v>318</v>
      </c>
      <c r="C131" s="166" t="s">
        <v>319</v>
      </c>
      <c r="D131" s="167">
        <f t="shared" ref="D131:F131" si="95">+D108+D130</f>
        <v>219703925</v>
      </c>
      <c r="E131" s="167">
        <f t="shared" si="95"/>
        <v>25704476</v>
      </c>
      <c r="F131" s="167">
        <f t="shared" si="95"/>
        <v>245408401</v>
      </c>
      <c r="G131" s="167">
        <f t="shared" ref="G131:I131" si="96">+G108+G130</f>
        <v>220027990</v>
      </c>
      <c r="H131" s="167">
        <f t="shared" si="96"/>
        <v>25704476</v>
      </c>
      <c r="I131" s="167">
        <f t="shared" si="96"/>
        <v>245732466</v>
      </c>
      <c r="J131" s="167">
        <f t="shared" ref="J131" si="97">+J108+J130</f>
        <v>206171901</v>
      </c>
      <c r="K131" s="167">
        <f t="shared" ref="K131:AY131" si="98">+K108+K130</f>
        <v>206171901</v>
      </c>
      <c r="L131" s="167">
        <f t="shared" si="98"/>
        <v>5836000</v>
      </c>
      <c r="M131" s="167">
        <f t="shared" si="98"/>
        <v>5836000</v>
      </c>
      <c r="N131" s="167">
        <f t="shared" si="98"/>
        <v>0</v>
      </c>
      <c r="O131" s="167">
        <f t="shared" si="98"/>
        <v>0</v>
      </c>
      <c r="P131" s="167">
        <f t="shared" si="98"/>
        <v>566000</v>
      </c>
      <c r="Q131" s="167">
        <f t="shared" si="98"/>
        <v>566000</v>
      </c>
      <c r="R131" s="167">
        <f t="shared" si="98"/>
        <v>0</v>
      </c>
      <c r="S131" s="167">
        <f t="shared" si="98"/>
        <v>0</v>
      </c>
      <c r="T131" s="167">
        <f t="shared" si="98"/>
        <v>0</v>
      </c>
      <c r="U131" s="167">
        <f t="shared" si="98"/>
        <v>0</v>
      </c>
      <c r="V131" s="167">
        <f t="shared" si="98"/>
        <v>1900000</v>
      </c>
      <c r="W131" s="167">
        <f t="shared" si="98"/>
        <v>1900000</v>
      </c>
      <c r="X131" s="167">
        <f t="shared" si="98"/>
        <v>30834500</v>
      </c>
      <c r="Y131" s="167">
        <f t="shared" si="98"/>
        <v>31158565</v>
      </c>
      <c r="Z131" s="167">
        <f t="shared" si="98"/>
        <v>0</v>
      </c>
      <c r="AA131" s="167">
        <f t="shared" si="98"/>
        <v>0</v>
      </c>
      <c r="AB131" s="167">
        <f t="shared" si="98"/>
        <v>0</v>
      </c>
      <c r="AC131" s="167">
        <f t="shared" si="98"/>
        <v>0</v>
      </c>
      <c r="AD131" s="167">
        <f t="shared" si="98"/>
        <v>100000</v>
      </c>
      <c r="AE131" s="167">
        <f t="shared" si="98"/>
        <v>100000</v>
      </c>
      <c r="AF131" s="167">
        <f t="shared" si="98"/>
        <v>0</v>
      </c>
      <c r="AG131" s="167">
        <f t="shared" si="98"/>
        <v>0</v>
      </c>
      <c r="AH131" s="167">
        <f t="shared" si="98"/>
        <v>0</v>
      </c>
      <c r="AI131" s="167">
        <f t="shared" si="98"/>
        <v>0</v>
      </c>
      <c r="AJ131" s="167">
        <f t="shared" si="98"/>
        <v>0</v>
      </c>
      <c r="AK131" s="167">
        <f t="shared" si="98"/>
        <v>0</v>
      </c>
      <c r="AL131" s="167">
        <f t="shared" si="98"/>
        <v>0</v>
      </c>
      <c r="AM131" s="167">
        <f t="shared" si="98"/>
        <v>0</v>
      </c>
      <c r="AN131" s="167">
        <f t="shared" si="98"/>
        <v>0</v>
      </c>
      <c r="AO131" s="167">
        <f t="shared" si="98"/>
        <v>0</v>
      </c>
      <c r="AP131" s="167">
        <f t="shared" si="98"/>
        <v>0</v>
      </c>
      <c r="AQ131" s="167">
        <f t="shared" si="98"/>
        <v>0</v>
      </c>
      <c r="AR131" s="167">
        <f t="shared" si="98"/>
        <v>0</v>
      </c>
      <c r="AS131" s="167">
        <f t="shared" si="98"/>
        <v>0</v>
      </c>
      <c r="AT131" s="167">
        <f t="shared" si="98"/>
        <v>0</v>
      </c>
      <c r="AU131" s="167">
        <f t="shared" si="98"/>
        <v>0</v>
      </c>
      <c r="AV131" s="167">
        <f t="shared" si="98"/>
        <v>0</v>
      </c>
      <c r="AW131" s="167">
        <f t="shared" si="98"/>
        <v>0</v>
      </c>
      <c r="AX131" s="167">
        <f t="shared" si="98"/>
        <v>0</v>
      </c>
      <c r="AY131" s="167">
        <f t="shared" si="98"/>
        <v>0</v>
      </c>
    </row>
    <row r="132" spans="2:57" s="122" customFormat="1" ht="12.75" x14ac:dyDescent="0.2">
      <c r="AZ132" s="263"/>
    </row>
    <row r="133" spans="2:57" s="122" customFormat="1" ht="12.75" x14ac:dyDescent="0.2">
      <c r="AZ133" s="263"/>
    </row>
    <row r="134" spans="2:57" s="122" customFormat="1" ht="12.75" x14ac:dyDescent="0.2"/>
    <row r="135" spans="2:57" s="122" customFormat="1" ht="12.75" x14ac:dyDescent="0.2">
      <c r="AZ135" s="263"/>
      <c r="BA135" s="263"/>
      <c r="BB135" s="263"/>
      <c r="BC135" s="263"/>
      <c r="BD135" s="263"/>
      <c r="BE135" s="263"/>
    </row>
    <row r="136" spans="2:57" s="122" customFormat="1" ht="12.75" x14ac:dyDescent="0.2">
      <c r="AZ136" s="263"/>
      <c r="BA136" s="263"/>
      <c r="BB136" s="263"/>
      <c r="BC136" s="263"/>
      <c r="BD136" s="263"/>
      <c r="BE136" s="263"/>
    </row>
    <row r="137" spans="2:57" s="122" customFormat="1" ht="12.75" x14ac:dyDescent="0.2"/>
    <row r="138" spans="2:57" s="122" customFormat="1" ht="12.75" x14ac:dyDescent="0.2"/>
    <row r="139" spans="2:57" s="122" customFormat="1" ht="12.75" x14ac:dyDescent="0.2"/>
    <row r="140" spans="2:57" s="122" customFormat="1" ht="12.75" x14ac:dyDescent="0.2"/>
    <row r="141" spans="2:57" s="122" customFormat="1" ht="12.75" x14ac:dyDescent="0.2"/>
    <row r="142" spans="2:57" s="122" customFormat="1" ht="12.75" x14ac:dyDescent="0.2"/>
    <row r="143" spans="2:57" s="122" customFormat="1" ht="12.75" x14ac:dyDescent="0.2"/>
    <row r="144" spans="2:57" s="122" customFormat="1" ht="12.75" x14ac:dyDescent="0.2"/>
    <row r="145" s="122" customFormat="1" ht="12.75" x14ac:dyDescent="0.2"/>
    <row r="146" s="122" customFormat="1" ht="12.75" x14ac:dyDescent="0.2"/>
    <row r="147" s="122" customFormat="1" ht="12.75" x14ac:dyDescent="0.2"/>
    <row r="148" s="122" customFormat="1" ht="12.75" x14ac:dyDescent="0.2"/>
    <row r="149" s="122" customFormat="1" ht="12.75" x14ac:dyDescent="0.2"/>
    <row r="150" s="122" customFormat="1" ht="12.75" x14ac:dyDescent="0.2"/>
    <row r="151" s="122" customFormat="1" ht="12.75" x14ac:dyDescent="0.2"/>
    <row r="152" s="122" customFormat="1" ht="12.75" x14ac:dyDescent="0.2"/>
    <row r="153" s="122" customFormat="1" ht="12.75" x14ac:dyDescent="0.2"/>
    <row r="154" s="122" customFormat="1" ht="12.75" x14ac:dyDescent="0.2"/>
    <row r="155" s="122" customFormat="1" ht="12.75" x14ac:dyDescent="0.2"/>
    <row r="156" s="122" customFormat="1" ht="12.75" x14ac:dyDescent="0.2"/>
    <row r="157" s="122" customFormat="1" ht="12.75" x14ac:dyDescent="0.2"/>
    <row r="158" s="122" customFormat="1" ht="12.75" x14ac:dyDescent="0.2"/>
    <row r="159" s="122" customFormat="1" ht="12.75" x14ac:dyDescent="0.2"/>
    <row r="160" s="122" customFormat="1" ht="12.75" x14ac:dyDescent="0.2"/>
    <row r="161" s="122" customFormat="1" ht="12.75" x14ac:dyDescent="0.2"/>
    <row r="162" s="122" customFormat="1" ht="12.75" x14ac:dyDescent="0.2"/>
    <row r="163" s="122" customFormat="1" ht="12.75" x14ac:dyDescent="0.2"/>
    <row r="164" s="122" customFormat="1" ht="12.75" x14ac:dyDescent="0.2"/>
    <row r="165" s="122" customFormat="1" ht="12.75" x14ac:dyDescent="0.2"/>
    <row r="166" s="122" customFormat="1" ht="12.75" x14ac:dyDescent="0.2"/>
    <row r="167" s="122" customFormat="1" ht="12.75" x14ac:dyDescent="0.2"/>
    <row r="168" s="122" customFormat="1" ht="12.75" x14ac:dyDescent="0.2"/>
    <row r="169" s="122" customFormat="1" ht="12.75" x14ac:dyDescent="0.2"/>
    <row r="170" s="122" customFormat="1" ht="12.75" x14ac:dyDescent="0.2"/>
    <row r="171" s="122" customFormat="1" ht="12.75" x14ac:dyDescent="0.2"/>
    <row r="172" s="122" customFormat="1" ht="12.75" x14ac:dyDescent="0.2"/>
    <row r="173" s="122" customFormat="1" ht="12.75" x14ac:dyDescent="0.2"/>
    <row r="174" s="122" customFormat="1" ht="12.75" x14ac:dyDescent="0.2"/>
    <row r="175" s="122" customFormat="1" ht="12.75" x14ac:dyDescent="0.2"/>
    <row r="176" s="122" customFormat="1" ht="12.75" x14ac:dyDescent="0.2"/>
    <row r="177" s="122" customFormat="1" ht="12.75" x14ac:dyDescent="0.2"/>
    <row r="178" s="122" customFormat="1" ht="12.75" x14ac:dyDescent="0.2"/>
    <row r="179" s="122" customFormat="1" ht="12.75" x14ac:dyDescent="0.2"/>
    <row r="180" s="122" customFormat="1" ht="12.75" x14ac:dyDescent="0.2"/>
    <row r="181" s="122" customFormat="1" ht="12.75" x14ac:dyDescent="0.2"/>
    <row r="182" s="122" customFormat="1" ht="12.75" x14ac:dyDescent="0.2"/>
    <row r="183" s="122" customFormat="1" ht="12.75" x14ac:dyDescent="0.2"/>
    <row r="184" s="122" customFormat="1" ht="12.75" x14ac:dyDescent="0.2"/>
    <row r="185" s="122" customFormat="1" ht="12.75" x14ac:dyDescent="0.2"/>
    <row r="186" s="122" customFormat="1" ht="12.75" x14ac:dyDescent="0.2"/>
    <row r="187" s="122" customFormat="1" ht="12.75" x14ac:dyDescent="0.2"/>
    <row r="188" s="122" customFormat="1" ht="12.75" x14ac:dyDescent="0.2"/>
    <row r="189" s="122" customFormat="1" ht="12.75" x14ac:dyDescent="0.2"/>
    <row r="190" s="122" customFormat="1" ht="12.75" x14ac:dyDescent="0.2"/>
    <row r="191" s="122" customFormat="1" ht="12.75" x14ac:dyDescent="0.2"/>
    <row r="192" s="122" customFormat="1" ht="12.75" x14ac:dyDescent="0.2"/>
    <row r="193" s="122" customFormat="1" ht="12.75" x14ac:dyDescent="0.2"/>
    <row r="194" s="122" customFormat="1" ht="12.75" x14ac:dyDescent="0.2"/>
    <row r="195" s="122" customFormat="1" ht="12.75" x14ac:dyDescent="0.2"/>
    <row r="196" s="122" customFormat="1" ht="12.75" x14ac:dyDescent="0.2"/>
    <row r="197" s="122" customFormat="1" ht="12.75" x14ac:dyDescent="0.2"/>
    <row r="198" s="122" customFormat="1" ht="12.75" x14ac:dyDescent="0.2"/>
    <row r="199" s="122" customFormat="1" ht="12.75" x14ac:dyDescent="0.2"/>
    <row r="200" s="122" customFormat="1" ht="12.75" x14ac:dyDescent="0.2"/>
    <row r="201" s="122" customFormat="1" ht="12.75" x14ac:dyDescent="0.2"/>
    <row r="202" s="122" customFormat="1" ht="12.75" x14ac:dyDescent="0.2"/>
    <row r="203" s="122" customFormat="1" ht="12.75" x14ac:dyDescent="0.2"/>
    <row r="204" s="122" customFormat="1" ht="12.75" x14ac:dyDescent="0.2"/>
    <row r="205" s="122" customFormat="1" ht="12.75" x14ac:dyDescent="0.2"/>
    <row r="206" s="122" customFormat="1" ht="12.75" x14ac:dyDescent="0.2"/>
    <row r="207" s="122" customFormat="1" ht="12.75" x14ac:dyDescent="0.2"/>
    <row r="208" s="122" customFormat="1" ht="12.75" x14ac:dyDescent="0.2"/>
    <row r="209" s="122" customFormat="1" ht="12.75" x14ac:dyDescent="0.2"/>
    <row r="210" s="122" customFormat="1" ht="12.75" x14ac:dyDescent="0.2"/>
    <row r="211" s="122" customFormat="1" ht="12.75" x14ac:dyDescent="0.2"/>
    <row r="212" s="122" customFormat="1" ht="12.75" x14ac:dyDescent="0.2"/>
    <row r="213" s="122" customFormat="1" ht="12.75" x14ac:dyDescent="0.2"/>
    <row r="214" s="122" customFormat="1" ht="12.75" x14ac:dyDescent="0.2"/>
    <row r="215" s="122" customFormat="1" ht="12.75" x14ac:dyDescent="0.2"/>
    <row r="216" s="122" customFormat="1" ht="12.75" x14ac:dyDescent="0.2"/>
    <row r="217" s="122" customFormat="1" ht="12.75" x14ac:dyDescent="0.2"/>
    <row r="218" s="122" customFormat="1" ht="12.75" x14ac:dyDescent="0.2"/>
    <row r="219" s="122" customFormat="1" ht="12.75" x14ac:dyDescent="0.2"/>
    <row r="220" s="122" customFormat="1" ht="12.75" x14ac:dyDescent="0.2"/>
    <row r="221" s="122" customFormat="1" ht="12.75" x14ac:dyDescent="0.2"/>
    <row r="222" s="122" customFormat="1" ht="12.75" x14ac:dyDescent="0.2"/>
    <row r="223" s="122" customFormat="1" ht="12.75" x14ac:dyDescent="0.2"/>
    <row r="224" s="122" customFormat="1" ht="12.75" x14ac:dyDescent="0.2"/>
    <row r="225" s="122" customFormat="1" ht="12.75" x14ac:dyDescent="0.2"/>
    <row r="226" s="122" customFormat="1" ht="12.75" x14ac:dyDescent="0.2"/>
    <row r="227" s="122" customFormat="1" ht="12.75" x14ac:dyDescent="0.2"/>
    <row r="228" s="122" customFormat="1" ht="12.75" x14ac:dyDescent="0.2"/>
    <row r="229" s="122" customFormat="1" ht="12.75" x14ac:dyDescent="0.2"/>
    <row r="230" s="122" customFormat="1" ht="12.75" x14ac:dyDescent="0.2"/>
    <row r="231" s="122" customFormat="1" ht="12.75" x14ac:dyDescent="0.2"/>
    <row r="232" s="122" customFormat="1" ht="12.75" x14ac:dyDescent="0.2"/>
    <row r="233" s="122" customFormat="1" ht="12.75" x14ac:dyDescent="0.2"/>
    <row r="234" s="122" customFormat="1" ht="12.75" x14ac:dyDescent="0.2"/>
    <row r="235" s="122" customFormat="1" ht="12.75" x14ac:dyDescent="0.2"/>
    <row r="236" s="122" customFormat="1" ht="12.75" x14ac:dyDescent="0.2"/>
    <row r="237" s="122" customFormat="1" ht="12.75" x14ac:dyDescent="0.2"/>
    <row r="238" s="122" customFormat="1" ht="12.75" x14ac:dyDescent="0.2"/>
    <row r="239" s="122" customFormat="1" ht="12.75" x14ac:dyDescent="0.2"/>
    <row r="240" s="122" customFormat="1" ht="12.75" x14ac:dyDescent="0.2"/>
    <row r="241" s="122" customFormat="1" ht="12.75" x14ac:dyDescent="0.2"/>
    <row r="242" s="122" customFormat="1" ht="12.75" x14ac:dyDescent="0.2"/>
    <row r="243" s="122" customFormat="1" ht="12.75" x14ac:dyDescent="0.2"/>
    <row r="244" s="122" customFormat="1" ht="12.75" x14ac:dyDescent="0.2"/>
    <row r="245" s="122" customFormat="1" ht="12.75" x14ac:dyDescent="0.2"/>
    <row r="246" s="122" customFormat="1" ht="12.75" x14ac:dyDescent="0.2"/>
    <row r="247" s="122" customFormat="1" ht="12.75" x14ac:dyDescent="0.2"/>
    <row r="248" s="122" customFormat="1" ht="12.75" x14ac:dyDescent="0.2"/>
    <row r="249" s="122" customFormat="1" ht="12.75" x14ac:dyDescent="0.2"/>
    <row r="250" s="122" customFormat="1" ht="12.75" x14ac:dyDescent="0.2"/>
    <row r="251" s="122" customFormat="1" ht="12.75" x14ac:dyDescent="0.2"/>
    <row r="252" s="122" customFormat="1" ht="12.75" x14ac:dyDescent="0.2"/>
    <row r="253" s="122" customFormat="1" ht="12.75" x14ac:dyDescent="0.2"/>
    <row r="254" s="122" customFormat="1" ht="12.75" x14ac:dyDescent="0.2"/>
    <row r="255" s="122" customFormat="1" ht="12.75" x14ac:dyDescent="0.2"/>
    <row r="256" s="122" customFormat="1" ht="12.75" x14ac:dyDescent="0.2"/>
    <row r="257" spans="2:9" s="122" customFormat="1" ht="12.75" x14ac:dyDescent="0.2"/>
    <row r="258" spans="2:9" s="122" customFormat="1" x14ac:dyDescent="0.25">
      <c r="B258"/>
      <c r="C258"/>
      <c r="D258"/>
      <c r="E258"/>
      <c r="F258"/>
      <c r="G258"/>
      <c r="H258"/>
      <c r="I258"/>
    </row>
    <row r="259" spans="2:9" s="122" customFormat="1" x14ac:dyDescent="0.25">
      <c r="B259"/>
      <c r="C259"/>
      <c r="D259"/>
      <c r="E259"/>
      <c r="F259"/>
      <c r="G259"/>
      <c r="H259"/>
      <c r="I259"/>
    </row>
  </sheetData>
  <sheetProtection selectLockedCells="1" selectUnlockedCells="1"/>
  <mergeCells count="69">
    <mergeCell ref="AX4:AY4"/>
    <mergeCell ref="AN6:AO6"/>
    <mergeCell ref="AP6:AQ6"/>
    <mergeCell ref="AR6:AS6"/>
    <mergeCell ref="AT6:AU6"/>
    <mergeCell ref="AV6:AW6"/>
    <mergeCell ref="AN4:AO4"/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T4:U4"/>
    <mergeCell ref="V4:W4"/>
    <mergeCell ref="X4:Y4"/>
    <mergeCell ref="Z4:AA4"/>
    <mergeCell ref="AB4:AC4"/>
    <mergeCell ref="J4:K4"/>
    <mergeCell ref="L4:M4"/>
    <mergeCell ref="N4:O4"/>
    <mergeCell ref="P4:Q4"/>
    <mergeCell ref="R4:S4"/>
    <mergeCell ref="B3:C3"/>
    <mergeCell ref="AR67:AS67"/>
    <mergeCell ref="AT67:AU67"/>
    <mergeCell ref="AV67:AW67"/>
    <mergeCell ref="AX67:AY67"/>
    <mergeCell ref="AH67:AI67"/>
    <mergeCell ref="AJ67:AK67"/>
    <mergeCell ref="AL67:AM67"/>
    <mergeCell ref="AN67:AO67"/>
    <mergeCell ref="AP67:AQ67"/>
    <mergeCell ref="AF67:AG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B6:AC6"/>
    <mergeCell ref="AD6:AE6"/>
    <mergeCell ref="AF6:AG6"/>
    <mergeCell ref="AH6:AI6"/>
    <mergeCell ref="AL6:AM6"/>
    <mergeCell ref="J66:N66"/>
    <mergeCell ref="AL66:AN66"/>
    <mergeCell ref="AP66:AX66"/>
    <mergeCell ref="N6:O6"/>
    <mergeCell ref="P6:Q6"/>
    <mergeCell ref="R6:S6"/>
    <mergeCell ref="T6:U6"/>
    <mergeCell ref="V6:W6"/>
    <mergeCell ref="X6:Y6"/>
    <mergeCell ref="Z6:AA6"/>
    <mergeCell ref="AX6:AY6"/>
    <mergeCell ref="D5:F5"/>
    <mergeCell ref="G5:I5"/>
    <mergeCell ref="J6:K6"/>
    <mergeCell ref="L6:M6"/>
    <mergeCell ref="AJ6:AK6"/>
  </mergeCells>
  <printOptions horizontalCentered="1"/>
  <pageMargins left="0.27559055118110237" right="0.11811023622047245" top="0.35433070866141736" bottom="0.35433070866141736" header="0.51181102362204722" footer="0.19685039370078741"/>
  <pageSetup paperSize="9" scale="64" firstPageNumber="0" fitToWidth="0" orientation="portrait" horizontalDpi="300" verticalDpi="300" r:id="rId1"/>
  <headerFooter alignWithMargins="0">
    <oddFooter>&amp;R&amp;P</oddFooter>
  </headerFooter>
  <colBreaks count="6" manualBreakCount="6">
    <brk id="9" max="1048575" man="1"/>
    <brk id="15" max="130" man="1"/>
    <brk id="23" max="130" man="1"/>
    <brk id="31" max="130" man="1"/>
    <brk id="39" max="130" man="1"/>
    <brk id="45" max="13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L260"/>
  <sheetViews>
    <sheetView view="pageBreakPreview" topLeftCell="C1" zoomScale="80" zoomScaleSheetLayoutView="80" workbookViewId="0">
      <selection activeCell="I1" sqref="I1"/>
    </sheetView>
  </sheetViews>
  <sheetFormatPr defaultColWidth="11.5703125" defaultRowHeight="15.75" x14ac:dyDescent="0.25"/>
  <cols>
    <col min="1" max="1" width="13" style="19" customWidth="1"/>
    <col min="2" max="2" width="64.7109375" style="19" customWidth="1"/>
    <col min="3" max="3" width="11.28515625" style="19" customWidth="1"/>
    <col min="4" max="4" width="14.5703125" style="19" customWidth="1"/>
    <col min="5" max="5" width="11.85546875" style="19" customWidth="1"/>
    <col min="6" max="6" width="15.85546875" style="20" customWidth="1"/>
    <col min="7" max="7" width="14.7109375" style="19" customWidth="1"/>
    <col min="8" max="8" width="11.5703125" style="19" customWidth="1"/>
    <col min="9" max="9" width="15.42578125" style="20" customWidth="1"/>
    <col min="10" max="246" width="9.140625" style="19" customWidth="1"/>
  </cols>
  <sheetData>
    <row r="1" spans="2:9" s="2" customFormat="1" ht="18.75" x14ac:dyDescent="0.25">
      <c r="I1" s="4" t="s">
        <v>907</v>
      </c>
    </row>
    <row r="2" spans="2:9" s="2" customFormat="1" ht="20.25" x14ac:dyDescent="0.3">
      <c r="B2" s="180" t="s">
        <v>0</v>
      </c>
      <c r="I2" s="5" t="str">
        <f>+'6 Tart'!I2</f>
        <v>a 2/2020.(II.27. ) önkormányzati rendelethez</v>
      </c>
    </row>
    <row r="3" spans="2:9" s="2" customFormat="1" x14ac:dyDescent="0.25">
      <c r="B3" s="31" t="s">
        <v>768</v>
      </c>
      <c r="C3" s="25"/>
      <c r="D3" s="25"/>
      <c r="E3" s="25"/>
      <c r="F3" s="26"/>
      <c r="G3" s="25"/>
      <c r="H3" s="25"/>
      <c r="I3" s="26"/>
    </row>
    <row r="4" spans="2:9" s="2" customFormat="1" x14ac:dyDescent="0.25">
      <c r="B4" s="29" t="s">
        <v>717</v>
      </c>
      <c r="C4" s="30"/>
      <c r="D4" s="30"/>
      <c r="E4" s="30"/>
      <c r="F4" s="31"/>
      <c r="G4" s="30"/>
      <c r="H4" s="30"/>
      <c r="I4" s="31"/>
    </row>
    <row r="5" spans="2:9" ht="15.75" customHeight="1" x14ac:dyDescent="0.25">
      <c r="B5" s="34"/>
      <c r="D5" s="583" t="s">
        <v>6</v>
      </c>
      <c r="E5" s="583"/>
      <c r="F5" s="583"/>
      <c r="G5" s="583" t="s">
        <v>7</v>
      </c>
      <c r="H5" s="583"/>
      <c r="I5" s="583"/>
    </row>
    <row r="6" spans="2:9" ht="47.25" x14ac:dyDescent="0.25">
      <c r="B6" s="8" t="s">
        <v>8</v>
      </c>
      <c r="C6" s="35" t="s">
        <v>33</v>
      </c>
      <c r="D6" s="36" t="s">
        <v>9</v>
      </c>
      <c r="E6" s="36" t="s">
        <v>10</v>
      </c>
      <c r="F6" s="35" t="s">
        <v>515</v>
      </c>
      <c r="G6" s="36" t="s">
        <v>9</v>
      </c>
      <c r="H6" s="36" t="s">
        <v>10</v>
      </c>
      <c r="I6" s="35" t="s">
        <v>515</v>
      </c>
    </row>
    <row r="7" spans="2:9" x14ac:dyDescent="0.25">
      <c r="B7" s="39" t="s">
        <v>34</v>
      </c>
      <c r="C7" s="40" t="s">
        <v>35</v>
      </c>
      <c r="D7" s="13">
        <f>155360864+16350000+10392000</f>
        <v>182102864</v>
      </c>
      <c r="E7" s="13"/>
      <c r="F7" s="14">
        <f>+D7+E7</f>
        <v>182102864</v>
      </c>
      <c r="G7" s="13">
        <v>182159099</v>
      </c>
      <c r="H7" s="13"/>
      <c r="I7" s="14">
        <f>+G7+H7</f>
        <v>182159099</v>
      </c>
    </row>
    <row r="8" spans="2:9" x14ac:dyDescent="0.25">
      <c r="B8" s="41" t="s">
        <v>36</v>
      </c>
      <c r="C8" s="40" t="s">
        <v>37</v>
      </c>
      <c r="D8" s="13">
        <v>3000000</v>
      </c>
      <c r="E8" s="13"/>
      <c r="F8" s="14">
        <f>+D8+E8</f>
        <v>3000000</v>
      </c>
      <c r="G8" s="13">
        <v>3000000</v>
      </c>
      <c r="H8" s="13"/>
      <c r="I8" s="14">
        <f>+G8+H8</f>
        <v>3000000</v>
      </c>
    </row>
    <row r="9" spans="2:9" x14ac:dyDescent="0.25">
      <c r="B9" s="42" t="s">
        <v>38</v>
      </c>
      <c r="C9" s="43" t="s">
        <v>39</v>
      </c>
      <c r="D9" s="14">
        <f>SUM(D7:D8)</f>
        <v>185102864</v>
      </c>
      <c r="E9" s="14">
        <f t="shared" ref="E9:I9" si="0">SUM(E7:E8)</f>
        <v>0</v>
      </c>
      <c r="F9" s="14">
        <f t="shared" si="0"/>
        <v>185102864</v>
      </c>
      <c r="G9" s="14">
        <f>SUM(G7:G8)</f>
        <v>185159099</v>
      </c>
      <c r="H9" s="14">
        <f t="shared" si="0"/>
        <v>0</v>
      </c>
      <c r="I9" s="14">
        <f t="shared" si="0"/>
        <v>185159099</v>
      </c>
    </row>
    <row r="10" spans="2:9" x14ac:dyDescent="0.25">
      <c r="B10" s="44" t="s">
        <v>40</v>
      </c>
      <c r="C10" s="43" t="s">
        <v>41</v>
      </c>
      <c r="D10" s="13">
        <f>32878933+286170+1900000</f>
        <v>35065103</v>
      </c>
      <c r="E10" s="13"/>
      <c r="F10" s="14">
        <f t="shared" ref="F10:F15" si="1">+D10+E10</f>
        <v>35065103</v>
      </c>
      <c r="G10" s="13">
        <v>35076314</v>
      </c>
      <c r="H10" s="13"/>
      <c r="I10" s="14">
        <f t="shared" ref="I10:I15" si="2">+G10+H10</f>
        <v>35076314</v>
      </c>
    </row>
    <row r="11" spans="2:9" x14ac:dyDescent="0.25">
      <c r="B11" s="41" t="s">
        <v>42</v>
      </c>
      <c r="C11" s="40" t="s">
        <v>43</v>
      </c>
      <c r="D11" s="13">
        <f>20000+300000+150000+100000+1500000+500000+950000</f>
        <v>3520000</v>
      </c>
      <c r="E11" s="13"/>
      <c r="F11" s="14">
        <f t="shared" si="1"/>
        <v>3520000</v>
      </c>
      <c r="G11" s="13">
        <f>20000+300000+150000+100000+1500000+500000+950000</f>
        <v>3520000</v>
      </c>
      <c r="H11" s="13"/>
      <c r="I11" s="14">
        <f t="shared" si="2"/>
        <v>3520000</v>
      </c>
    </row>
    <row r="12" spans="2:9" x14ac:dyDescent="0.25">
      <c r="B12" s="41" t="s">
        <v>44</v>
      </c>
      <c r="C12" s="40" t="s">
        <v>45</v>
      </c>
      <c r="D12" s="13">
        <f>200000+400000+1100000</f>
        <v>1700000</v>
      </c>
      <c r="E12" s="13"/>
      <c r="F12" s="14">
        <f t="shared" si="1"/>
        <v>1700000</v>
      </c>
      <c r="G12" s="13">
        <f>200000+400000+1100000</f>
        <v>1700000</v>
      </c>
      <c r="H12" s="13"/>
      <c r="I12" s="14">
        <f t="shared" si="2"/>
        <v>1700000</v>
      </c>
    </row>
    <row r="13" spans="2:9" x14ac:dyDescent="0.25">
      <c r="B13" s="41" t="s">
        <v>46</v>
      </c>
      <c r="C13" s="40" t="s">
        <v>47</v>
      </c>
      <c r="D13" s="13">
        <f>2500000+1000000+1700000+700000+2950000+2700000+500000+2200000+150000+5180000</f>
        <v>19580000</v>
      </c>
      <c r="E13" s="13"/>
      <c r="F13" s="14">
        <f t="shared" si="1"/>
        <v>19580000</v>
      </c>
      <c r="G13" s="13">
        <v>19830000</v>
      </c>
      <c r="H13" s="13"/>
      <c r="I13" s="14">
        <f t="shared" si="2"/>
        <v>19830000</v>
      </c>
    </row>
    <row r="14" spans="2:9" x14ac:dyDescent="0.25">
      <c r="B14" s="41" t="s">
        <v>48</v>
      </c>
      <c r="C14" s="40" t="s">
        <v>49</v>
      </c>
      <c r="D14" s="13">
        <v>200000</v>
      </c>
      <c r="E14" s="13"/>
      <c r="F14" s="14">
        <f t="shared" si="1"/>
        <v>200000</v>
      </c>
      <c r="G14" s="13">
        <v>200000</v>
      </c>
      <c r="H14" s="13"/>
      <c r="I14" s="14">
        <f t="shared" si="2"/>
        <v>200000</v>
      </c>
    </row>
    <row r="15" spans="2:9" x14ac:dyDescent="0.25">
      <c r="B15" s="41" t="s">
        <v>50</v>
      </c>
      <c r="C15" s="40" t="s">
        <v>51</v>
      </c>
      <c r="D15" s="13">
        <v>7450000</v>
      </c>
      <c r="E15" s="13"/>
      <c r="F15" s="14">
        <f t="shared" si="1"/>
        <v>7450000</v>
      </c>
      <c r="G15" s="13">
        <v>7200000</v>
      </c>
      <c r="H15" s="13"/>
      <c r="I15" s="14">
        <f t="shared" si="2"/>
        <v>7200000</v>
      </c>
    </row>
    <row r="16" spans="2:9" x14ac:dyDescent="0.25">
      <c r="B16" s="44" t="s">
        <v>52</v>
      </c>
      <c r="C16" s="43" t="s">
        <v>53</v>
      </c>
      <c r="D16" s="14">
        <f>SUM(D11:D15)</f>
        <v>32450000</v>
      </c>
      <c r="E16" s="14">
        <f t="shared" ref="E16:I16" si="3">SUM(E11:E15)</f>
        <v>0</v>
      </c>
      <c r="F16" s="14">
        <f t="shared" si="3"/>
        <v>32450000</v>
      </c>
      <c r="G16" s="14">
        <f>SUM(G11:G15)</f>
        <v>32450000</v>
      </c>
      <c r="H16" s="14">
        <f t="shared" si="3"/>
        <v>0</v>
      </c>
      <c r="I16" s="14">
        <f t="shared" si="3"/>
        <v>32450000</v>
      </c>
    </row>
    <row r="17" spans="2:9" x14ac:dyDescent="0.25">
      <c r="B17" s="45" t="s">
        <v>54</v>
      </c>
      <c r="C17" s="43" t="s">
        <v>55</v>
      </c>
      <c r="D17" s="13"/>
      <c r="E17" s="13"/>
      <c r="F17" s="14">
        <f t="shared" ref="F17:F31" si="4">+D17+E17</f>
        <v>0</v>
      </c>
      <c r="G17" s="13"/>
      <c r="H17" s="13"/>
      <c r="I17" s="14">
        <f t="shared" ref="I17:I31" si="5">+G17+H17</f>
        <v>0</v>
      </c>
    </row>
    <row r="18" spans="2:9" hidden="1" x14ac:dyDescent="0.25">
      <c r="B18" s="46" t="s">
        <v>56</v>
      </c>
      <c r="C18" s="40" t="s">
        <v>57</v>
      </c>
      <c r="D18" s="13"/>
      <c r="E18" s="13"/>
      <c r="F18" s="14">
        <f t="shared" si="4"/>
        <v>0</v>
      </c>
      <c r="G18" s="13"/>
      <c r="H18" s="13"/>
      <c r="I18" s="14">
        <f t="shared" si="5"/>
        <v>0</v>
      </c>
    </row>
    <row r="19" spans="2:9" hidden="1" x14ac:dyDescent="0.25">
      <c r="B19" s="46" t="s">
        <v>58</v>
      </c>
      <c r="C19" s="40" t="s">
        <v>59</v>
      </c>
      <c r="D19" s="13"/>
      <c r="E19" s="13"/>
      <c r="F19" s="14">
        <f t="shared" si="4"/>
        <v>0</v>
      </c>
      <c r="G19" s="13"/>
      <c r="H19" s="13"/>
      <c r="I19" s="14">
        <f t="shared" si="5"/>
        <v>0</v>
      </c>
    </row>
    <row r="20" spans="2:9" ht="31.5" hidden="1" x14ac:dyDescent="0.25">
      <c r="B20" s="46" t="s">
        <v>60</v>
      </c>
      <c r="C20" s="40" t="s">
        <v>61</v>
      </c>
      <c r="D20" s="13"/>
      <c r="E20" s="13"/>
      <c r="F20" s="14">
        <f t="shared" si="4"/>
        <v>0</v>
      </c>
      <c r="G20" s="13"/>
      <c r="H20" s="13"/>
      <c r="I20" s="14">
        <f t="shared" si="5"/>
        <v>0</v>
      </c>
    </row>
    <row r="21" spans="2:9" ht="31.5" hidden="1" x14ac:dyDescent="0.25">
      <c r="B21" s="46" t="s">
        <v>62</v>
      </c>
      <c r="C21" s="40" t="s">
        <v>63</v>
      </c>
      <c r="D21" s="13"/>
      <c r="E21" s="13"/>
      <c r="F21" s="14">
        <f t="shared" si="4"/>
        <v>0</v>
      </c>
      <c r="G21" s="13"/>
      <c r="H21" s="13"/>
      <c r="I21" s="14">
        <f t="shared" si="5"/>
        <v>0</v>
      </c>
    </row>
    <row r="22" spans="2:9" ht="31.5" hidden="1" x14ac:dyDescent="0.25">
      <c r="B22" s="46" t="s">
        <v>587</v>
      </c>
      <c r="C22" s="40" t="s">
        <v>65</v>
      </c>
      <c r="D22" s="13"/>
      <c r="E22" s="13"/>
      <c r="F22" s="14">
        <f t="shared" si="4"/>
        <v>0</v>
      </c>
      <c r="G22" s="13"/>
      <c r="H22" s="13"/>
      <c r="I22" s="14">
        <f t="shared" si="5"/>
        <v>0</v>
      </c>
    </row>
    <row r="23" spans="2:9" hidden="1" x14ac:dyDescent="0.25">
      <c r="B23" s="46" t="s">
        <v>66</v>
      </c>
      <c r="C23" s="40" t="s">
        <v>67</v>
      </c>
      <c r="D23" s="13"/>
      <c r="E23" s="13"/>
      <c r="F23" s="14">
        <f t="shared" si="4"/>
        <v>0</v>
      </c>
      <c r="G23" s="13"/>
      <c r="H23" s="13"/>
      <c r="I23" s="14">
        <f t="shared" si="5"/>
        <v>0</v>
      </c>
    </row>
    <row r="24" spans="2:9" ht="31.5" hidden="1" x14ac:dyDescent="0.25">
      <c r="B24" s="46" t="s">
        <v>68</v>
      </c>
      <c r="C24" s="40" t="s">
        <v>69</v>
      </c>
      <c r="D24" s="13"/>
      <c r="E24" s="13"/>
      <c r="F24" s="14">
        <f t="shared" si="4"/>
        <v>0</v>
      </c>
      <c r="G24" s="13"/>
      <c r="H24" s="13"/>
      <c r="I24" s="14">
        <f t="shared" si="5"/>
        <v>0</v>
      </c>
    </row>
    <row r="25" spans="2:9" ht="31.5" hidden="1" x14ac:dyDescent="0.25">
      <c r="B25" s="46" t="s">
        <v>70</v>
      </c>
      <c r="C25" s="40" t="s">
        <v>71</v>
      </c>
      <c r="D25" s="13"/>
      <c r="E25" s="13"/>
      <c r="F25" s="14">
        <f t="shared" si="4"/>
        <v>0</v>
      </c>
      <c r="G25" s="13"/>
      <c r="H25" s="13"/>
      <c r="I25" s="14">
        <f t="shared" si="5"/>
        <v>0</v>
      </c>
    </row>
    <row r="26" spans="2:9" hidden="1" x14ac:dyDescent="0.25">
      <c r="B26" s="46" t="s">
        <v>72</v>
      </c>
      <c r="C26" s="40" t="s">
        <v>73</v>
      </c>
      <c r="D26" s="13"/>
      <c r="E26" s="13"/>
      <c r="F26" s="14">
        <f t="shared" si="4"/>
        <v>0</v>
      </c>
      <c r="G26" s="13"/>
      <c r="H26" s="13"/>
      <c r="I26" s="14">
        <f t="shared" si="5"/>
        <v>0</v>
      </c>
    </row>
    <row r="27" spans="2:9" hidden="1" x14ac:dyDescent="0.25">
      <c r="B27" s="47" t="s">
        <v>74</v>
      </c>
      <c r="C27" s="40" t="s">
        <v>75</v>
      </c>
      <c r="D27" s="13"/>
      <c r="E27" s="13"/>
      <c r="F27" s="14">
        <f t="shared" si="4"/>
        <v>0</v>
      </c>
      <c r="G27" s="13"/>
      <c r="H27" s="13"/>
      <c r="I27" s="14">
        <f t="shared" si="5"/>
        <v>0</v>
      </c>
    </row>
    <row r="28" spans="2:9" hidden="1" x14ac:dyDescent="0.25">
      <c r="B28" s="47" t="s">
        <v>588</v>
      </c>
      <c r="C28" s="40" t="s">
        <v>77</v>
      </c>
      <c r="D28" s="13"/>
      <c r="E28" s="13"/>
      <c r="F28" s="14">
        <f t="shared" si="4"/>
        <v>0</v>
      </c>
      <c r="G28" s="13"/>
      <c r="H28" s="13"/>
      <c r="I28" s="14">
        <f t="shared" si="5"/>
        <v>0</v>
      </c>
    </row>
    <row r="29" spans="2:9" hidden="1" x14ac:dyDescent="0.25">
      <c r="B29" s="46" t="s">
        <v>78</v>
      </c>
      <c r="C29" s="40" t="s">
        <v>79</v>
      </c>
      <c r="D29" s="13"/>
      <c r="E29" s="13"/>
      <c r="F29" s="14">
        <f t="shared" si="4"/>
        <v>0</v>
      </c>
      <c r="G29" s="13"/>
      <c r="H29" s="13"/>
      <c r="I29" s="14">
        <f t="shared" si="5"/>
        <v>0</v>
      </c>
    </row>
    <row r="30" spans="2:9" hidden="1" x14ac:dyDescent="0.25">
      <c r="B30" s="47" t="s">
        <v>80</v>
      </c>
      <c r="C30" s="40" t="s">
        <v>81</v>
      </c>
      <c r="D30" s="13"/>
      <c r="E30" s="13"/>
      <c r="F30" s="14">
        <f t="shared" si="4"/>
        <v>0</v>
      </c>
      <c r="G30" s="13"/>
      <c r="H30" s="13"/>
      <c r="I30" s="14">
        <f t="shared" si="5"/>
        <v>0</v>
      </c>
    </row>
    <row r="31" spans="2:9" hidden="1" x14ac:dyDescent="0.25">
      <c r="B31" s="47" t="s">
        <v>82</v>
      </c>
      <c r="C31" s="40" t="s">
        <v>81</v>
      </c>
      <c r="D31" s="13"/>
      <c r="E31" s="13"/>
      <c r="F31" s="14">
        <f t="shared" si="4"/>
        <v>0</v>
      </c>
      <c r="G31" s="13"/>
      <c r="H31" s="13"/>
      <c r="I31" s="14">
        <f t="shared" si="5"/>
        <v>0</v>
      </c>
    </row>
    <row r="32" spans="2:9" s="20" customFormat="1" x14ac:dyDescent="0.25">
      <c r="B32" s="45" t="s">
        <v>83</v>
      </c>
      <c r="C32" s="43" t="s">
        <v>84</v>
      </c>
      <c r="D32" s="14">
        <f t="shared" ref="D32:I32" si="6">SUM(D18:D31)</f>
        <v>0</v>
      </c>
      <c r="E32" s="14">
        <f t="shared" si="6"/>
        <v>0</v>
      </c>
      <c r="F32" s="14">
        <f t="shared" si="6"/>
        <v>0</v>
      </c>
      <c r="G32" s="14">
        <f t="shared" si="6"/>
        <v>0</v>
      </c>
      <c r="H32" s="14">
        <f t="shared" si="6"/>
        <v>0</v>
      </c>
      <c r="I32" s="14">
        <f t="shared" si="6"/>
        <v>0</v>
      </c>
    </row>
    <row r="33" spans="2:9" x14ac:dyDescent="0.25">
      <c r="B33" s="48" t="s">
        <v>85</v>
      </c>
      <c r="C33" s="49" t="s">
        <v>86</v>
      </c>
      <c r="D33" s="50">
        <f t="shared" ref="D33:I33" si="7">+D32+D17+D16+D10+D9</f>
        <v>252617967</v>
      </c>
      <c r="E33" s="50">
        <f t="shared" si="7"/>
        <v>0</v>
      </c>
      <c r="F33" s="50">
        <f t="shared" si="7"/>
        <v>252617967</v>
      </c>
      <c r="G33" s="50">
        <f t="shared" si="7"/>
        <v>252685413</v>
      </c>
      <c r="H33" s="50">
        <f t="shared" si="7"/>
        <v>0</v>
      </c>
      <c r="I33" s="50">
        <f t="shared" si="7"/>
        <v>252685413</v>
      </c>
    </row>
    <row r="34" spans="2:9" x14ac:dyDescent="0.25">
      <c r="B34" s="51" t="s">
        <v>87</v>
      </c>
      <c r="C34" s="40" t="s">
        <v>88</v>
      </c>
      <c r="D34" s="13"/>
      <c r="E34" s="13"/>
      <c r="F34" s="14">
        <f t="shared" ref="F34:F40" si="8">+D34+E34</f>
        <v>0</v>
      </c>
      <c r="G34" s="13"/>
      <c r="H34" s="13"/>
      <c r="I34" s="14">
        <f t="shared" ref="I34:I40" si="9">+G34+H34</f>
        <v>0</v>
      </c>
    </row>
    <row r="35" spans="2:9" x14ac:dyDescent="0.25">
      <c r="B35" s="51" t="s">
        <v>89</v>
      </c>
      <c r="C35" s="40" t="s">
        <v>90</v>
      </c>
      <c r="D35" s="13"/>
      <c r="E35" s="13"/>
      <c r="F35" s="14">
        <f t="shared" si="8"/>
        <v>0</v>
      </c>
      <c r="G35" s="13"/>
      <c r="H35" s="13"/>
      <c r="I35" s="14">
        <f t="shared" si="9"/>
        <v>0</v>
      </c>
    </row>
    <row r="36" spans="2:9" x14ac:dyDescent="0.25">
      <c r="B36" s="51" t="s">
        <v>91</v>
      </c>
      <c r="C36" s="40" t="s">
        <v>92</v>
      </c>
      <c r="D36" s="13"/>
      <c r="E36" s="13"/>
      <c r="F36" s="14">
        <f t="shared" si="8"/>
        <v>0</v>
      </c>
      <c r="G36" s="13"/>
      <c r="H36" s="13"/>
      <c r="I36" s="14">
        <f t="shared" si="9"/>
        <v>0</v>
      </c>
    </row>
    <row r="37" spans="2:9" x14ac:dyDescent="0.25">
      <c r="B37" s="51" t="s">
        <v>93</v>
      </c>
      <c r="C37" s="40" t="s">
        <v>94</v>
      </c>
      <c r="D37" s="13">
        <v>750000</v>
      </c>
      <c r="E37" s="13"/>
      <c r="F37" s="14">
        <f t="shared" si="8"/>
        <v>750000</v>
      </c>
      <c r="G37" s="13">
        <v>750000</v>
      </c>
      <c r="H37" s="13"/>
      <c r="I37" s="14">
        <f t="shared" si="9"/>
        <v>750000</v>
      </c>
    </row>
    <row r="38" spans="2:9" x14ac:dyDescent="0.25">
      <c r="B38" s="52" t="s">
        <v>95</v>
      </c>
      <c r="C38" s="40" t="s">
        <v>96</v>
      </c>
      <c r="D38" s="13"/>
      <c r="E38" s="13"/>
      <c r="F38" s="14">
        <f t="shared" si="8"/>
        <v>0</v>
      </c>
      <c r="G38" s="13"/>
      <c r="H38" s="13"/>
      <c r="I38" s="14">
        <f t="shared" si="9"/>
        <v>0</v>
      </c>
    </row>
    <row r="39" spans="2:9" x14ac:dyDescent="0.25">
      <c r="B39" s="52" t="s">
        <v>97</v>
      </c>
      <c r="C39" s="40" t="s">
        <v>98</v>
      </c>
      <c r="D39" s="13"/>
      <c r="E39" s="13"/>
      <c r="F39" s="14">
        <f t="shared" si="8"/>
        <v>0</v>
      </c>
      <c r="G39" s="13"/>
      <c r="H39" s="13"/>
      <c r="I39" s="14">
        <f t="shared" si="9"/>
        <v>0</v>
      </c>
    </row>
    <row r="40" spans="2:9" x14ac:dyDescent="0.25">
      <c r="B40" s="52" t="s">
        <v>99</v>
      </c>
      <c r="C40" s="40" t="s">
        <v>100</v>
      </c>
      <c r="D40" s="13">
        <v>202500</v>
      </c>
      <c r="E40" s="13"/>
      <c r="F40" s="14">
        <f t="shared" si="8"/>
        <v>202500</v>
      </c>
      <c r="G40" s="13">
        <v>202500</v>
      </c>
      <c r="H40" s="13"/>
      <c r="I40" s="14">
        <f t="shared" si="9"/>
        <v>202500</v>
      </c>
    </row>
    <row r="41" spans="2:9" s="20" customFormat="1" x14ac:dyDescent="0.25">
      <c r="B41" s="53" t="s">
        <v>101</v>
      </c>
      <c r="C41" s="43" t="s">
        <v>102</v>
      </c>
      <c r="D41" s="14">
        <f t="shared" ref="D41:I41" si="10">SUM(D34:D40)</f>
        <v>952500</v>
      </c>
      <c r="E41" s="14">
        <f t="shared" si="10"/>
        <v>0</v>
      </c>
      <c r="F41" s="14">
        <f t="shared" si="10"/>
        <v>952500</v>
      </c>
      <c r="G41" s="14">
        <f>SUM(G34:G40)</f>
        <v>952500</v>
      </c>
      <c r="H41" s="14">
        <f t="shared" si="10"/>
        <v>0</v>
      </c>
      <c r="I41" s="14">
        <f t="shared" si="10"/>
        <v>952500</v>
      </c>
    </row>
    <row r="42" spans="2:9" x14ac:dyDescent="0.25">
      <c r="B42" s="54" t="s">
        <v>103</v>
      </c>
      <c r="C42" s="40" t="s">
        <v>104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4" t="s">
        <v>105</v>
      </c>
      <c r="C43" s="40" t="s">
        <v>106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4" t="s">
        <v>107</v>
      </c>
      <c r="C44" s="40" t="s">
        <v>108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4" t="s">
        <v>109</v>
      </c>
      <c r="C45" s="40" t="s">
        <v>110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4" t="s">
        <v>111</v>
      </c>
      <c r="C46" s="43" t="s">
        <v>112</v>
      </c>
      <c r="D46" s="14">
        <f t="shared" ref="D46:I46" si="11">SUM(D42:D45)</f>
        <v>0</v>
      </c>
      <c r="E46" s="14">
        <f t="shared" si="11"/>
        <v>0</v>
      </c>
      <c r="F46" s="14">
        <f t="shared" si="11"/>
        <v>0</v>
      </c>
      <c r="G46" s="14">
        <f t="shared" si="11"/>
        <v>0</v>
      </c>
      <c r="H46" s="14">
        <f t="shared" si="11"/>
        <v>0</v>
      </c>
      <c r="I46" s="14">
        <f t="shared" si="11"/>
        <v>0</v>
      </c>
    </row>
    <row r="47" spans="2:9" ht="31.5" hidden="1" x14ac:dyDescent="0.25">
      <c r="B47" s="54" t="s">
        <v>589</v>
      </c>
      <c r="C47" s="40" t="s">
        <v>114</v>
      </c>
      <c r="D47" s="13"/>
      <c r="E47" s="13"/>
      <c r="F47" s="14">
        <f t="shared" ref="F47:F55" si="12">+D47+E47</f>
        <v>0</v>
      </c>
      <c r="G47" s="13"/>
      <c r="H47" s="13"/>
      <c r="I47" s="14">
        <f t="shared" ref="I47:I55" si="13">+G47+H47</f>
        <v>0</v>
      </c>
    </row>
    <row r="48" spans="2:9" ht="31.5" hidden="1" x14ac:dyDescent="0.25">
      <c r="B48" s="54" t="s">
        <v>590</v>
      </c>
      <c r="C48" s="40" t="s">
        <v>116</v>
      </c>
      <c r="D48" s="13"/>
      <c r="E48" s="13"/>
      <c r="F48" s="14">
        <f t="shared" si="12"/>
        <v>0</v>
      </c>
      <c r="G48" s="13"/>
      <c r="H48" s="13"/>
      <c r="I48" s="14">
        <f t="shared" si="13"/>
        <v>0</v>
      </c>
    </row>
    <row r="49" spans="2:10" ht="31.5" hidden="1" x14ac:dyDescent="0.25">
      <c r="B49" s="54" t="s">
        <v>117</v>
      </c>
      <c r="C49" s="40" t="s">
        <v>118</v>
      </c>
      <c r="D49" s="13"/>
      <c r="E49" s="13"/>
      <c r="F49" s="14">
        <f t="shared" si="12"/>
        <v>0</v>
      </c>
      <c r="G49" s="13"/>
      <c r="H49" s="13"/>
      <c r="I49" s="14">
        <f t="shared" si="13"/>
        <v>0</v>
      </c>
    </row>
    <row r="50" spans="2:10" hidden="1" x14ac:dyDescent="0.25">
      <c r="B50" s="54" t="s">
        <v>119</v>
      </c>
      <c r="C50" s="40" t="s">
        <v>120</v>
      </c>
      <c r="D50" s="13"/>
      <c r="E50" s="13"/>
      <c r="F50" s="14">
        <f t="shared" si="12"/>
        <v>0</v>
      </c>
      <c r="G50" s="13"/>
      <c r="H50" s="13"/>
      <c r="I50" s="14">
        <f t="shared" si="13"/>
        <v>0</v>
      </c>
    </row>
    <row r="51" spans="2:10" ht="31.5" hidden="1" x14ac:dyDescent="0.25">
      <c r="B51" s="54" t="s">
        <v>121</v>
      </c>
      <c r="C51" s="40" t="s">
        <v>122</v>
      </c>
      <c r="D51" s="13"/>
      <c r="E51" s="13"/>
      <c r="F51" s="14">
        <f t="shared" si="12"/>
        <v>0</v>
      </c>
      <c r="G51" s="13"/>
      <c r="H51" s="13"/>
      <c r="I51" s="14">
        <f t="shared" si="13"/>
        <v>0</v>
      </c>
    </row>
    <row r="52" spans="2:10" hidden="1" x14ac:dyDescent="0.25">
      <c r="B52" s="54" t="s">
        <v>123</v>
      </c>
      <c r="C52" s="40" t="s">
        <v>124</v>
      </c>
      <c r="D52" s="13"/>
      <c r="E52" s="13"/>
      <c r="F52" s="14">
        <f t="shared" si="12"/>
        <v>0</v>
      </c>
      <c r="G52" s="13"/>
      <c r="H52" s="13"/>
      <c r="I52" s="14">
        <f t="shared" si="13"/>
        <v>0</v>
      </c>
    </row>
    <row r="53" spans="2:10" hidden="1" x14ac:dyDescent="0.25">
      <c r="B53" s="54" t="s">
        <v>125</v>
      </c>
      <c r="C53" s="40" t="s">
        <v>126</v>
      </c>
      <c r="D53" s="13"/>
      <c r="E53" s="13"/>
      <c r="F53" s="14">
        <f t="shared" si="12"/>
        <v>0</v>
      </c>
      <c r="G53" s="13"/>
      <c r="H53" s="13"/>
      <c r="I53" s="14">
        <f t="shared" si="13"/>
        <v>0</v>
      </c>
    </row>
    <row r="54" spans="2:10" hidden="1" x14ac:dyDescent="0.25">
      <c r="B54" s="47" t="s">
        <v>591</v>
      </c>
      <c r="C54" s="40" t="s">
        <v>128</v>
      </c>
      <c r="D54" s="13"/>
      <c r="E54" s="13"/>
      <c r="F54" s="14">
        <f t="shared" si="12"/>
        <v>0</v>
      </c>
      <c r="G54" s="13"/>
      <c r="H54" s="13"/>
      <c r="I54" s="14">
        <f t="shared" si="13"/>
        <v>0</v>
      </c>
    </row>
    <row r="55" spans="2:10" hidden="1" x14ac:dyDescent="0.25">
      <c r="B55" s="54" t="s">
        <v>129</v>
      </c>
      <c r="C55" s="40" t="s">
        <v>130</v>
      </c>
      <c r="D55" s="13"/>
      <c r="E55" s="13"/>
      <c r="F55" s="14">
        <f t="shared" si="12"/>
        <v>0</v>
      </c>
      <c r="G55" s="13"/>
      <c r="H55" s="13"/>
      <c r="I55" s="14">
        <f t="shared" si="13"/>
        <v>0</v>
      </c>
    </row>
    <row r="56" spans="2:10" s="20" customFormat="1" x14ac:dyDescent="0.25">
      <c r="B56" s="45" t="s">
        <v>131</v>
      </c>
      <c r="C56" s="43" t="s">
        <v>132</v>
      </c>
      <c r="D56" s="14">
        <f t="shared" ref="D56:I56" si="14">SUM(D47:D55)</f>
        <v>0</v>
      </c>
      <c r="E56" s="14">
        <f t="shared" si="14"/>
        <v>0</v>
      </c>
      <c r="F56" s="14">
        <f t="shared" si="14"/>
        <v>0</v>
      </c>
      <c r="G56" s="14">
        <f t="shared" si="14"/>
        <v>0</v>
      </c>
      <c r="H56" s="14">
        <f t="shared" si="14"/>
        <v>0</v>
      </c>
      <c r="I56" s="14">
        <f t="shared" si="14"/>
        <v>0</v>
      </c>
    </row>
    <row r="57" spans="2:10" x14ac:dyDescent="0.25">
      <c r="B57" s="48" t="s">
        <v>133</v>
      </c>
      <c r="C57" s="49" t="s">
        <v>134</v>
      </c>
      <c r="D57" s="50">
        <f t="shared" ref="D57:I57" si="15">+D56+D46+D41</f>
        <v>952500</v>
      </c>
      <c r="E57" s="50">
        <f t="shared" si="15"/>
        <v>0</v>
      </c>
      <c r="F57" s="50">
        <f t="shared" si="15"/>
        <v>952500</v>
      </c>
      <c r="G57" s="50">
        <f t="shared" si="15"/>
        <v>952500</v>
      </c>
      <c r="H57" s="50">
        <f t="shared" si="15"/>
        <v>0</v>
      </c>
      <c r="I57" s="50">
        <f t="shared" si="15"/>
        <v>952500</v>
      </c>
    </row>
    <row r="58" spans="2:10" x14ac:dyDescent="0.25">
      <c r="B58" s="55" t="s">
        <v>135</v>
      </c>
      <c r="C58" s="56" t="s">
        <v>136</v>
      </c>
      <c r="D58" s="57">
        <f t="shared" ref="D58:I58" si="16">+D56+D46+D41+D32+D17+D16+D10+D9</f>
        <v>253570467</v>
      </c>
      <c r="E58" s="57">
        <f t="shared" si="16"/>
        <v>0</v>
      </c>
      <c r="F58" s="57">
        <f t="shared" si="16"/>
        <v>253570467</v>
      </c>
      <c r="G58" s="57">
        <f t="shared" si="16"/>
        <v>253637913</v>
      </c>
      <c r="H58" s="57">
        <f t="shared" si="16"/>
        <v>0</v>
      </c>
      <c r="I58" s="57">
        <f t="shared" si="16"/>
        <v>253637913</v>
      </c>
    </row>
    <row r="59" spans="2:10" hidden="1" x14ac:dyDescent="0.25">
      <c r="B59" s="59" t="s">
        <v>572</v>
      </c>
      <c r="C59" s="41" t="s">
        <v>162</v>
      </c>
      <c r="D59" s="181"/>
      <c r="E59" s="181"/>
      <c r="F59" s="13">
        <f>+D59+E59</f>
        <v>0</v>
      </c>
      <c r="G59" s="181"/>
      <c r="H59" s="181"/>
      <c r="I59" s="13">
        <f>+G59+H59</f>
        <v>0</v>
      </c>
      <c r="J59" s="182"/>
    </row>
    <row r="60" spans="2:10" hidden="1" x14ac:dyDescent="0.25">
      <c r="B60" s="59" t="s">
        <v>163</v>
      </c>
      <c r="C60" s="41" t="s">
        <v>164</v>
      </c>
      <c r="D60" s="181"/>
      <c r="E60" s="181"/>
      <c r="F60" s="13">
        <f>+D60+E60</f>
        <v>0</v>
      </c>
      <c r="G60" s="181"/>
      <c r="H60" s="181"/>
      <c r="I60" s="13">
        <f>+G60+H60</f>
        <v>0</v>
      </c>
      <c r="J60" s="182"/>
    </row>
    <row r="61" spans="2:10" hidden="1" x14ac:dyDescent="0.25">
      <c r="B61" s="54" t="s">
        <v>165</v>
      </c>
      <c r="C61" s="41" t="s">
        <v>166</v>
      </c>
      <c r="D61" s="181"/>
      <c r="E61" s="181"/>
      <c r="F61" s="13">
        <f>+D61+E61</f>
        <v>0</v>
      </c>
      <c r="G61" s="181"/>
      <c r="H61" s="181"/>
      <c r="I61" s="13">
        <f>+G61+H61</f>
        <v>0</v>
      </c>
      <c r="J61" s="183"/>
    </row>
    <row r="62" spans="2:10" hidden="1" x14ac:dyDescent="0.25">
      <c r="B62" s="54" t="s">
        <v>167</v>
      </c>
      <c r="C62" s="41" t="s">
        <v>168</v>
      </c>
      <c r="D62" s="181"/>
      <c r="E62" s="181"/>
      <c r="F62" s="13">
        <f>+D62+E62</f>
        <v>0</v>
      </c>
      <c r="G62" s="181"/>
      <c r="H62" s="181"/>
      <c r="I62" s="13">
        <f>+G62+H62</f>
        <v>0</v>
      </c>
      <c r="J62" s="183"/>
    </row>
    <row r="63" spans="2:10" x14ac:dyDescent="0.25">
      <c r="B63" s="62" t="s">
        <v>169</v>
      </c>
      <c r="C63" s="63" t="s">
        <v>170</v>
      </c>
      <c r="D63" s="64">
        <f t="shared" ref="D63:I63" si="17">+D61+D60+D59+D62</f>
        <v>0</v>
      </c>
      <c r="E63" s="64">
        <f t="shared" si="17"/>
        <v>0</v>
      </c>
      <c r="F63" s="64">
        <f t="shared" si="17"/>
        <v>0</v>
      </c>
      <c r="G63" s="64">
        <f t="shared" si="17"/>
        <v>0</v>
      </c>
      <c r="H63" s="64">
        <f t="shared" si="17"/>
        <v>0</v>
      </c>
      <c r="I63" s="64">
        <f t="shared" si="17"/>
        <v>0</v>
      </c>
      <c r="J63" s="184"/>
    </row>
    <row r="64" spans="2:10" x14ac:dyDescent="0.25">
      <c r="B64" s="17" t="s">
        <v>171</v>
      </c>
      <c r="C64" s="17" t="s">
        <v>172</v>
      </c>
      <c r="D64" s="18">
        <f t="shared" ref="D64:I64" si="18">+D58+D63</f>
        <v>253570467</v>
      </c>
      <c r="E64" s="18">
        <f t="shared" si="18"/>
        <v>0</v>
      </c>
      <c r="F64" s="18">
        <f t="shared" si="18"/>
        <v>253570467</v>
      </c>
      <c r="G64" s="18">
        <f t="shared" si="18"/>
        <v>253637913</v>
      </c>
      <c r="H64" s="18">
        <f t="shared" si="18"/>
        <v>0</v>
      </c>
      <c r="I64" s="18">
        <f t="shared" si="18"/>
        <v>253637913</v>
      </c>
    </row>
    <row r="65" spans="2:9" x14ac:dyDescent="0.25">
      <c r="B65" s="2"/>
      <c r="C65" s="2"/>
      <c r="D65" s="3"/>
      <c r="E65" s="3"/>
      <c r="F65" s="65"/>
      <c r="G65" s="3"/>
      <c r="H65" s="3"/>
      <c r="I65" s="65"/>
    </row>
    <row r="66" spans="2:9" ht="15.75" hidden="1" customHeight="1" x14ac:dyDescent="0.25">
      <c r="B66" s="2"/>
      <c r="C66" s="2"/>
      <c r="D66" s="583" t="s">
        <v>7</v>
      </c>
      <c r="E66" s="583"/>
      <c r="F66" s="583"/>
      <c r="G66" s="583" t="s">
        <v>7</v>
      </c>
      <c r="H66" s="583"/>
      <c r="I66" s="583"/>
    </row>
    <row r="67" spans="2:9" ht="47.25" x14ac:dyDescent="0.25">
      <c r="B67" s="8" t="s">
        <v>8</v>
      </c>
      <c r="C67" s="35" t="s">
        <v>173</v>
      </c>
      <c r="D67" s="36" t="s">
        <v>9</v>
      </c>
      <c r="E67" s="36" t="s">
        <v>10</v>
      </c>
      <c r="F67" s="35" t="s">
        <v>515</v>
      </c>
      <c r="G67" s="36" t="s">
        <v>9</v>
      </c>
      <c r="H67" s="36" t="s">
        <v>10</v>
      </c>
      <c r="I67" s="35" t="s">
        <v>515</v>
      </c>
    </row>
    <row r="68" spans="2:9" hidden="1" x14ac:dyDescent="0.25">
      <c r="B68" s="44" t="s">
        <v>573</v>
      </c>
      <c r="C68" s="53" t="s">
        <v>187</v>
      </c>
      <c r="D68" s="14"/>
      <c r="E68" s="14"/>
      <c r="F68" s="14">
        <f t="shared" ref="F68:F73" si="19">+E68+D68</f>
        <v>0</v>
      </c>
      <c r="G68" s="14"/>
      <c r="H68" s="14"/>
      <c r="I68" s="14">
        <f t="shared" ref="I68:I73" si="20">+H68+G68</f>
        <v>0</v>
      </c>
    </row>
    <row r="69" spans="2:9" hidden="1" x14ac:dyDescent="0.25">
      <c r="B69" s="41" t="s">
        <v>188</v>
      </c>
      <c r="C69" s="52" t="s">
        <v>189</v>
      </c>
      <c r="D69" s="14"/>
      <c r="E69" s="14"/>
      <c r="F69" s="14">
        <f t="shared" si="19"/>
        <v>0</v>
      </c>
      <c r="G69" s="14"/>
      <c r="H69" s="14"/>
      <c r="I69" s="14">
        <f t="shared" si="20"/>
        <v>0</v>
      </c>
    </row>
    <row r="70" spans="2:9" ht="31.5" hidden="1" x14ac:dyDescent="0.25">
      <c r="B70" s="41" t="s">
        <v>574</v>
      </c>
      <c r="C70" s="52" t="s">
        <v>191</v>
      </c>
      <c r="D70" s="14"/>
      <c r="E70" s="14"/>
      <c r="F70" s="14">
        <f t="shared" si="19"/>
        <v>0</v>
      </c>
      <c r="G70" s="14"/>
      <c r="H70" s="14"/>
      <c r="I70" s="14">
        <f t="shared" si="20"/>
        <v>0</v>
      </c>
    </row>
    <row r="71" spans="2:9" ht="31.5" hidden="1" x14ac:dyDescent="0.25">
      <c r="B71" s="41" t="s">
        <v>192</v>
      </c>
      <c r="C71" s="52" t="s">
        <v>193</v>
      </c>
      <c r="D71" s="14"/>
      <c r="E71" s="14"/>
      <c r="F71" s="14">
        <f t="shared" si="19"/>
        <v>0</v>
      </c>
      <c r="G71" s="14"/>
      <c r="H71" s="14"/>
      <c r="I71" s="14">
        <f t="shared" si="20"/>
        <v>0</v>
      </c>
    </row>
    <row r="72" spans="2:9" ht="31.5" hidden="1" x14ac:dyDescent="0.25">
      <c r="B72" s="41" t="s">
        <v>194</v>
      </c>
      <c r="C72" s="52" t="s">
        <v>195</v>
      </c>
      <c r="D72" s="14"/>
      <c r="E72" s="14"/>
      <c r="F72" s="14">
        <f t="shared" si="19"/>
        <v>0</v>
      </c>
      <c r="G72" s="14"/>
      <c r="H72" s="14"/>
      <c r="I72" s="14">
        <f t="shared" si="20"/>
        <v>0</v>
      </c>
    </row>
    <row r="73" spans="2:9" x14ac:dyDescent="0.25">
      <c r="B73" s="41" t="s">
        <v>196</v>
      </c>
      <c r="C73" s="52" t="s">
        <v>197</v>
      </c>
      <c r="D73" s="13">
        <f>2577000+14414500+150000</f>
        <v>17141500</v>
      </c>
      <c r="E73" s="13"/>
      <c r="F73" s="14">
        <f t="shared" si="19"/>
        <v>17141500</v>
      </c>
      <c r="G73" s="13">
        <f>2577000+14414500+150000+500000</f>
        <v>17641500</v>
      </c>
      <c r="H73" s="13"/>
      <c r="I73" s="14">
        <f t="shared" si="20"/>
        <v>17641500</v>
      </c>
    </row>
    <row r="74" spans="2:9" x14ac:dyDescent="0.25">
      <c r="B74" s="44" t="s">
        <v>198</v>
      </c>
      <c r="C74" s="53" t="s">
        <v>199</v>
      </c>
      <c r="D74" s="14">
        <f t="shared" ref="D74:I74" si="21">+D73+D72+D71+D70+D69+D68</f>
        <v>17141500</v>
      </c>
      <c r="E74" s="14">
        <f t="shared" si="21"/>
        <v>0</v>
      </c>
      <c r="F74" s="14">
        <f t="shared" si="21"/>
        <v>17141500</v>
      </c>
      <c r="G74" s="14">
        <f>+G73+G72+G71+G70+G69+G68</f>
        <v>17641500</v>
      </c>
      <c r="H74" s="14">
        <f>+H73+H72+H71+H70+H69+H68</f>
        <v>0</v>
      </c>
      <c r="I74" s="14">
        <f t="shared" si="21"/>
        <v>17641500</v>
      </c>
    </row>
    <row r="75" spans="2:9" x14ac:dyDescent="0.25">
      <c r="B75" s="44" t="s">
        <v>200</v>
      </c>
      <c r="C75" s="53" t="s">
        <v>201</v>
      </c>
      <c r="D75" s="13"/>
      <c r="E75" s="13"/>
      <c r="F75" s="14">
        <f t="shared" ref="F75:F81" si="22">+E75+D75</f>
        <v>0</v>
      </c>
      <c r="G75" s="13"/>
      <c r="H75" s="13"/>
      <c r="I75" s="14">
        <f t="shared" ref="I75:I81" si="23">+H75+G75</f>
        <v>0</v>
      </c>
    </row>
    <row r="76" spans="2:9" hidden="1" x14ac:dyDescent="0.25">
      <c r="B76" s="41" t="s">
        <v>202</v>
      </c>
      <c r="C76" s="52" t="s">
        <v>203</v>
      </c>
      <c r="D76" s="13"/>
      <c r="E76" s="13"/>
      <c r="F76" s="14">
        <f t="shared" si="22"/>
        <v>0</v>
      </c>
      <c r="G76" s="13"/>
      <c r="H76" s="13"/>
      <c r="I76" s="14">
        <f t="shared" si="23"/>
        <v>0</v>
      </c>
    </row>
    <row r="77" spans="2:9" hidden="1" x14ac:dyDescent="0.25">
      <c r="B77" s="41" t="s">
        <v>204</v>
      </c>
      <c r="C77" s="52" t="s">
        <v>205</v>
      </c>
      <c r="D77" s="13"/>
      <c r="E77" s="13"/>
      <c r="F77" s="14">
        <f t="shared" si="22"/>
        <v>0</v>
      </c>
      <c r="G77" s="13"/>
      <c r="H77" s="13"/>
      <c r="I77" s="14">
        <f t="shared" si="23"/>
        <v>0</v>
      </c>
    </row>
    <row r="78" spans="2:9" hidden="1" x14ac:dyDescent="0.25">
      <c r="B78" s="41" t="s">
        <v>206</v>
      </c>
      <c r="C78" s="52" t="s">
        <v>207</v>
      </c>
      <c r="D78" s="13"/>
      <c r="E78" s="13"/>
      <c r="F78" s="14">
        <f t="shared" si="22"/>
        <v>0</v>
      </c>
      <c r="G78" s="13"/>
      <c r="H78" s="13"/>
      <c r="I78" s="14">
        <f t="shared" si="23"/>
        <v>0</v>
      </c>
    </row>
    <row r="79" spans="2:9" hidden="1" x14ac:dyDescent="0.25">
      <c r="B79" s="41" t="s">
        <v>208</v>
      </c>
      <c r="C79" s="52" t="s">
        <v>209</v>
      </c>
      <c r="D79" s="13"/>
      <c r="E79" s="13"/>
      <c r="F79" s="14">
        <f t="shared" si="22"/>
        <v>0</v>
      </c>
      <c r="G79" s="13"/>
      <c r="H79" s="13"/>
      <c r="I79" s="14">
        <f t="shared" si="23"/>
        <v>0</v>
      </c>
    </row>
    <row r="80" spans="2:9" hidden="1" x14ac:dyDescent="0.25">
      <c r="B80" s="41" t="s">
        <v>210</v>
      </c>
      <c r="C80" s="52" t="s">
        <v>211</v>
      </c>
      <c r="D80" s="13"/>
      <c r="E80" s="13"/>
      <c r="F80" s="14">
        <f t="shared" si="22"/>
        <v>0</v>
      </c>
      <c r="G80" s="13"/>
      <c r="H80" s="13"/>
      <c r="I80" s="14">
        <f t="shared" si="23"/>
        <v>0</v>
      </c>
    </row>
    <row r="81" spans="2:9" hidden="1" x14ac:dyDescent="0.25">
      <c r="B81" s="41" t="s">
        <v>212</v>
      </c>
      <c r="C81" s="52" t="s">
        <v>213</v>
      </c>
      <c r="D81" s="13"/>
      <c r="E81" s="13"/>
      <c r="F81" s="14">
        <f t="shared" si="22"/>
        <v>0</v>
      </c>
      <c r="G81" s="13"/>
      <c r="H81" s="13"/>
      <c r="I81" s="14">
        <f t="shared" si="23"/>
        <v>0</v>
      </c>
    </row>
    <row r="82" spans="2:9" x14ac:dyDescent="0.25">
      <c r="B82" s="44" t="s">
        <v>214</v>
      </c>
      <c r="C82" s="53" t="s">
        <v>215</v>
      </c>
      <c r="D82" s="14">
        <f t="shared" ref="D82:I82" si="24">SUM(D76:D81)</f>
        <v>0</v>
      </c>
      <c r="E82" s="14">
        <f t="shared" si="24"/>
        <v>0</v>
      </c>
      <c r="F82" s="14">
        <f t="shared" si="24"/>
        <v>0</v>
      </c>
      <c r="G82" s="14">
        <f>SUM(G76:G81)</f>
        <v>0</v>
      </c>
      <c r="H82" s="14">
        <f>SUM(H76:H81)</f>
        <v>0</v>
      </c>
      <c r="I82" s="14">
        <f t="shared" si="24"/>
        <v>0</v>
      </c>
    </row>
    <row r="83" spans="2:9" x14ac:dyDescent="0.25">
      <c r="B83" s="54" t="s">
        <v>577</v>
      </c>
      <c r="C83" s="52" t="s">
        <v>217</v>
      </c>
      <c r="D83" s="13"/>
      <c r="E83" s="13"/>
      <c r="F83" s="14">
        <f t="shared" ref="F83:F93" si="25">+E83+D83</f>
        <v>0</v>
      </c>
      <c r="G83" s="13"/>
      <c r="H83" s="13"/>
      <c r="I83" s="14">
        <f t="shared" ref="I83:I93" si="26">+H83+G83</f>
        <v>0</v>
      </c>
    </row>
    <row r="84" spans="2:9" x14ac:dyDescent="0.25">
      <c r="B84" s="54" t="s">
        <v>218</v>
      </c>
      <c r="C84" s="52" t="s">
        <v>219</v>
      </c>
      <c r="D84" s="13">
        <f>500000+3344932</f>
        <v>3844932</v>
      </c>
      <c r="E84" s="13"/>
      <c r="F84" s="14">
        <f t="shared" si="25"/>
        <v>3844932</v>
      </c>
      <c r="G84" s="13">
        <f>500000+3344932-500000</f>
        <v>3344932</v>
      </c>
      <c r="H84" s="13"/>
      <c r="I84" s="14">
        <f t="shared" si="26"/>
        <v>3344932</v>
      </c>
    </row>
    <row r="85" spans="2:9" x14ac:dyDescent="0.25">
      <c r="B85" s="54" t="s">
        <v>220</v>
      </c>
      <c r="C85" s="52" t="s">
        <v>221</v>
      </c>
      <c r="D85" s="13"/>
      <c r="E85" s="13"/>
      <c r="F85" s="14">
        <f t="shared" si="25"/>
        <v>0</v>
      </c>
      <c r="G85" s="13"/>
      <c r="H85" s="13"/>
      <c r="I85" s="14">
        <f t="shared" si="26"/>
        <v>0</v>
      </c>
    </row>
    <row r="86" spans="2:9" x14ac:dyDescent="0.25">
      <c r="B86" s="54" t="s">
        <v>222</v>
      </c>
      <c r="C86" s="52" t="s">
        <v>223</v>
      </c>
      <c r="D86" s="13"/>
      <c r="E86" s="13"/>
      <c r="F86" s="14">
        <f t="shared" si="25"/>
        <v>0</v>
      </c>
      <c r="G86" s="13"/>
      <c r="H86" s="13"/>
      <c r="I86" s="14">
        <f t="shared" si="26"/>
        <v>0</v>
      </c>
    </row>
    <row r="87" spans="2:9" x14ac:dyDescent="0.25">
      <c r="B87" s="54" t="s">
        <v>224</v>
      </c>
      <c r="C87" s="52" t="s">
        <v>225</v>
      </c>
      <c r="D87" s="13"/>
      <c r="E87" s="13"/>
      <c r="F87" s="14">
        <f t="shared" si="25"/>
        <v>0</v>
      </c>
      <c r="G87" s="13"/>
      <c r="H87" s="13"/>
      <c r="I87" s="14">
        <f t="shared" si="26"/>
        <v>0</v>
      </c>
    </row>
    <row r="88" spans="2:9" x14ac:dyDescent="0.25">
      <c r="B88" s="54" t="s">
        <v>226</v>
      </c>
      <c r="C88" s="52" t="s">
        <v>227</v>
      </c>
      <c r="D88" s="13">
        <v>896382</v>
      </c>
      <c r="E88" s="13"/>
      <c r="F88" s="14">
        <f t="shared" si="25"/>
        <v>896382</v>
      </c>
      <c r="G88" s="13">
        <v>896382</v>
      </c>
      <c r="H88" s="13"/>
      <c r="I88" s="14">
        <f t="shared" si="26"/>
        <v>896382</v>
      </c>
    </row>
    <row r="89" spans="2:9" x14ac:dyDescent="0.25">
      <c r="B89" s="54" t="s">
        <v>228</v>
      </c>
      <c r="C89" s="52" t="s">
        <v>229</v>
      </c>
      <c r="D89" s="13"/>
      <c r="E89" s="13"/>
      <c r="F89" s="14">
        <f t="shared" si="25"/>
        <v>0</v>
      </c>
      <c r="G89" s="13"/>
      <c r="H89" s="13"/>
      <c r="I89" s="14">
        <f t="shared" si="26"/>
        <v>0</v>
      </c>
    </row>
    <row r="90" spans="2:9" x14ac:dyDescent="0.25">
      <c r="B90" s="54" t="s">
        <v>230</v>
      </c>
      <c r="C90" s="52" t="s">
        <v>231</v>
      </c>
      <c r="D90" s="13"/>
      <c r="E90" s="13"/>
      <c r="F90" s="14">
        <f t="shared" si="25"/>
        <v>0</v>
      </c>
      <c r="G90" s="13"/>
      <c r="H90" s="13"/>
      <c r="I90" s="14">
        <f t="shared" si="26"/>
        <v>0</v>
      </c>
    </row>
    <row r="91" spans="2:9" x14ac:dyDescent="0.25">
      <c r="B91" s="54" t="s">
        <v>232</v>
      </c>
      <c r="C91" s="52" t="s">
        <v>233</v>
      </c>
      <c r="D91" s="13"/>
      <c r="E91" s="13"/>
      <c r="F91" s="14">
        <f t="shared" si="25"/>
        <v>0</v>
      </c>
      <c r="G91" s="13"/>
      <c r="H91" s="13"/>
      <c r="I91" s="14">
        <f t="shared" si="26"/>
        <v>0</v>
      </c>
    </row>
    <row r="92" spans="2:9" x14ac:dyDescent="0.25">
      <c r="B92" s="54" t="s">
        <v>234</v>
      </c>
      <c r="C92" s="52" t="s">
        <v>235</v>
      </c>
      <c r="D92" s="13"/>
      <c r="E92" s="13"/>
      <c r="F92" s="14">
        <f t="shared" si="25"/>
        <v>0</v>
      </c>
      <c r="G92" s="13"/>
      <c r="H92" s="13"/>
      <c r="I92" s="14">
        <f t="shared" si="26"/>
        <v>0</v>
      </c>
    </row>
    <row r="93" spans="2:9" x14ac:dyDescent="0.25">
      <c r="B93" s="54" t="s">
        <v>236</v>
      </c>
      <c r="C93" s="52" t="s">
        <v>237</v>
      </c>
      <c r="D93" s="13"/>
      <c r="E93" s="13"/>
      <c r="F93" s="14">
        <f t="shared" si="25"/>
        <v>0</v>
      </c>
      <c r="G93" s="13"/>
      <c r="H93" s="13"/>
      <c r="I93" s="14">
        <f t="shared" si="26"/>
        <v>0</v>
      </c>
    </row>
    <row r="94" spans="2:9" x14ac:dyDescent="0.25">
      <c r="B94" s="45" t="s">
        <v>238</v>
      </c>
      <c r="C94" s="53" t="s">
        <v>239</v>
      </c>
      <c r="D94" s="14">
        <f t="shared" ref="D94:I94" si="27">SUM(D83:D93)</f>
        <v>4741314</v>
      </c>
      <c r="E94" s="14">
        <f t="shared" si="27"/>
        <v>0</v>
      </c>
      <c r="F94" s="14">
        <f t="shared" si="27"/>
        <v>4741314</v>
      </c>
      <c r="G94" s="14">
        <f t="shared" si="27"/>
        <v>4241314</v>
      </c>
      <c r="H94" s="14">
        <f t="shared" si="27"/>
        <v>0</v>
      </c>
      <c r="I94" s="14">
        <f t="shared" si="27"/>
        <v>4241314</v>
      </c>
    </row>
    <row r="95" spans="2:9" x14ac:dyDescent="0.25">
      <c r="B95" s="54" t="s">
        <v>240</v>
      </c>
      <c r="C95" s="52" t="s">
        <v>241</v>
      </c>
      <c r="D95" s="13"/>
      <c r="E95" s="13"/>
      <c r="F95" s="14">
        <f>+E95+D95</f>
        <v>0</v>
      </c>
      <c r="G95" s="13"/>
      <c r="H95" s="13"/>
      <c r="I95" s="14">
        <f>+H95+G95</f>
        <v>0</v>
      </c>
    </row>
    <row r="96" spans="2:9" x14ac:dyDescent="0.25">
      <c r="B96" s="54" t="s">
        <v>242</v>
      </c>
      <c r="C96" s="52" t="s">
        <v>243</v>
      </c>
      <c r="D96" s="13"/>
      <c r="E96" s="13"/>
      <c r="F96" s="14">
        <f>+E96+D96</f>
        <v>0</v>
      </c>
      <c r="G96" s="13"/>
      <c r="H96" s="13"/>
      <c r="I96" s="14">
        <f>+H96+G96</f>
        <v>0</v>
      </c>
    </row>
    <row r="97" spans="2:9" x14ac:dyDescent="0.25">
      <c r="B97" s="54" t="s">
        <v>244</v>
      </c>
      <c r="C97" s="52" t="s">
        <v>245</v>
      </c>
      <c r="D97" s="13"/>
      <c r="E97" s="13"/>
      <c r="F97" s="14">
        <f>+E97+D97</f>
        <v>0</v>
      </c>
      <c r="G97" s="13"/>
      <c r="H97" s="13"/>
      <c r="I97" s="14">
        <f>+H97+G97</f>
        <v>0</v>
      </c>
    </row>
    <row r="98" spans="2:9" hidden="1" x14ac:dyDescent="0.25">
      <c r="B98" s="54" t="s">
        <v>246</v>
      </c>
      <c r="C98" s="52" t="s">
        <v>247</v>
      </c>
      <c r="D98" s="13"/>
      <c r="E98" s="13"/>
      <c r="F98" s="14">
        <f>+E98+D98</f>
        <v>0</v>
      </c>
      <c r="G98" s="13"/>
      <c r="H98" s="13"/>
      <c r="I98" s="14">
        <f>+H98+G98</f>
        <v>0</v>
      </c>
    </row>
    <row r="99" spans="2:9" hidden="1" x14ac:dyDescent="0.25">
      <c r="B99" s="54" t="s">
        <v>248</v>
      </c>
      <c r="C99" s="52" t="s">
        <v>249</v>
      </c>
      <c r="D99" s="13"/>
      <c r="E99" s="13"/>
      <c r="F99" s="14">
        <f>+E99+D99</f>
        <v>0</v>
      </c>
      <c r="G99" s="13"/>
      <c r="H99" s="13"/>
      <c r="I99" s="14">
        <f>+H99+G99</f>
        <v>0</v>
      </c>
    </row>
    <row r="100" spans="2:9" x14ac:dyDescent="0.25">
      <c r="B100" s="44" t="s">
        <v>250</v>
      </c>
      <c r="C100" s="53" t="s">
        <v>251</v>
      </c>
      <c r="D100" s="14">
        <f t="shared" ref="D100:I100" si="28">SUM(D95:D99)</f>
        <v>0</v>
      </c>
      <c r="E100" s="14">
        <f t="shared" si="28"/>
        <v>0</v>
      </c>
      <c r="F100" s="14">
        <f t="shared" si="28"/>
        <v>0</v>
      </c>
      <c r="G100" s="14">
        <f t="shared" si="28"/>
        <v>0</v>
      </c>
      <c r="H100" s="14">
        <f t="shared" si="28"/>
        <v>0</v>
      </c>
      <c r="I100" s="14">
        <f t="shared" si="28"/>
        <v>0</v>
      </c>
    </row>
    <row r="101" spans="2:9" x14ac:dyDescent="0.25">
      <c r="B101" s="44" t="s">
        <v>252</v>
      </c>
      <c r="C101" s="53" t="s">
        <v>253</v>
      </c>
      <c r="D101" s="13"/>
      <c r="E101" s="13"/>
      <c r="F101" s="14">
        <f t="shared" ref="F101:F106" si="29">+E101+D101</f>
        <v>0</v>
      </c>
      <c r="G101" s="13"/>
      <c r="H101" s="13"/>
      <c r="I101" s="14">
        <f t="shared" ref="I101:I106" si="30">+H101+G101</f>
        <v>0</v>
      </c>
    </row>
    <row r="102" spans="2:9" ht="31.5" hidden="1" x14ac:dyDescent="0.25">
      <c r="B102" s="54" t="s">
        <v>254</v>
      </c>
      <c r="C102" s="52" t="s">
        <v>255</v>
      </c>
      <c r="D102" s="13"/>
      <c r="E102" s="13"/>
      <c r="F102" s="14">
        <f t="shared" si="29"/>
        <v>0</v>
      </c>
      <c r="G102" s="13"/>
      <c r="H102" s="13"/>
      <c r="I102" s="14">
        <f t="shared" si="30"/>
        <v>0</v>
      </c>
    </row>
    <row r="103" spans="2:9" ht="31.5" hidden="1" x14ac:dyDescent="0.25">
      <c r="B103" s="41" t="s">
        <v>256</v>
      </c>
      <c r="C103" s="52" t="s">
        <v>257</v>
      </c>
      <c r="D103" s="13"/>
      <c r="E103" s="13"/>
      <c r="F103" s="14">
        <f t="shared" si="29"/>
        <v>0</v>
      </c>
      <c r="G103" s="13"/>
      <c r="H103" s="13"/>
      <c r="I103" s="14">
        <f t="shared" si="30"/>
        <v>0</v>
      </c>
    </row>
    <row r="104" spans="2:9" ht="31.5" hidden="1" x14ac:dyDescent="0.25">
      <c r="B104" s="54" t="s">
        <v>258</v>
      </c>
      <c r="C104" s="52" t="s">
        <v>259</v>
      </c>
      <c r="D104" s="13"/>
      <c r="E104" s="13"/>
      <c r="F104" s="14">
        <f t="shared" si="29"/>
        <v>0</v>
      </c>
      <c r="G104" s="13"/>
      <c r="H104" s="13"/>
      <c r="I104" s="14">
        <f t="shared" si="30"/>
        <v>0</v>
      </c>
    </row>
    <row r="105" spans="2:9" ht="31.5" hidden="1" x14ac:dyDescent="0.25">
      <c r="B105" s="54" t="s">
        <v>260</v>
      </c>
      <c r="C105" s="52" t="s">
        <v>261</v>
      </c>
      <c r="D105" s="13"/>
      <c r="E105" s="13"/>
      <c r="F105" s="14">
        <f t="shared" si="29"/>
        <v>0</v>
      </c>
      <c r="G105" s="13"/>
      <c r="H105" s="13"/>
      <c r="I105" s="14">
        <f t="shared" si="30"/>
        <v>0</v>
      </c>
    </row>
    <row r="106" spans="2:9" hidden="1" x14ac:dyDescent="0.25">
      <c r="B106" s="54" t="s">
        <v>262</v>
      </c>
      <c r="C106" s="52" t="s">
        <v>263</v>
      </c>
      <c r="D106" s="13"/>
      <c r="E106" s="13"/>
      <c r="F106" s="14">
        <f t="shared" si="29"/>
        <v>0</v>
      </c>
      <c r="G106" s="13"/>
      <c r="H106" s="13"/>
      <c r="I106" s="14">
        <f t="shared" si="30"/>
        <v>0</v>
      </c>
    </row>
    <row r="107" spans="2:9" x14ac:dyDescent="0.25">
      <c r="B107" s="44" t="s">
        <v>264</v>
      </c>
      <c r="C107" s="53" t="s">
        <v>265</v>
      </c>
      <c r="D107" s="14">
        <f t="shared" ref="D107:I107" si="31">SUM(D102:D106)</f>
        <v>0</v>
      </c>
      <c r="E107" s="14">
        <f t="shared" si="31"/>
        <v>0</v>
      </c>
      <c r="F107" s="14">
        <f t="shared" si="31"/>
        <v>0</v>
      </c>
      <c r="G107" s="14">
        <f t="shared" si="31"/>
        <v>0</v>
      </c>
      <c r="H107" s="14">
        <f t="shared" si="31"/>
        <v>0</v>
      </c>
      <c r="I107" s="14">
        <f t="shared" si="31"/>
        <v>0</v>
      </c>
    </row>
    <row r="108" spans="2:9" x14ac:dyDescent="0.25">
      <c r="B108" s="66" t="s">
        <v>266</v>
      </c>
      <c r="C108" s="55" t="s">
        <v>267</v>
      </c>
      <c r="D108" s="57">
        <f t="shared" ref="D108:I108" si="32">+D107+D101+D100+D94+D82+D75+D74</f>
        <v>21882814</v>
      </c>
      <c r="E108" s="57">
        <f t="shared" si="32"/>
        <v>0</v>
      </c>
      <c r="F108" s="57">
        <f t="shared" si="32"/>
        <v>21882814</v>
      </c>
      <c r="G108" s="57">
        <f t="shared" si="32"/>
        <v>21882814</v>
      </c>
      <c r="H108" s="57">
        <f t="shared" si="32"/>
        <v>0</v>
      </c>
      <c r="I108" s="57">
        <f t="shared" si="32"/>
        <v>21882814</v>
      </c>
    </row>
    <row r="109" spans="2:9" x14ac:dyDescent="0.25">
      <c r="B109" s="67" t="s">
        <v>268</v>
      </c>
      <c r="C109" s="68"/>
      <c r="D109" s="69">
        <f>+D101+D94+D82+D74-D33</f>
        <v>-230735153</v>
      </c>
      <c r="E109" s="69">
        <f>+E101+E94+E82+E74-E33</f>
        <v>0</v>
      </c>
      <c r="F109" s="69">
        <f t="shared" ref="F109:F116" si="33">+E109+D109</f>
        <v>-230735153</v>
      </c>
      <c r="G109" s="69">
        <f>+G101+G94+G82+G74-G33</f>
        <v>-230802599</v>
      </c>
      <c r="H109" s="69">
        <f>+H101+H94+H82+H74-H33</f>
        <v>0</v>
      </c>
      <c r="I109" s="69">
        <f t="shared" ref="I109:I116" si="34">+H109+G109</f>
        <v>-230802599</v>
      </c>
    </row>
    <row r="110" spans="2:9" x14ac:dyDescent="0.25">
      <c r="B110" s="67" t="s">
        <v>269</v>
      </c>
      <c r="C110" s="68"/>
      <c r="D110" s="69">
        <f>+D107+D100+D75-D57</f>
        <v>-952500</v>
      </c>
      <c r="E110" s="69">
        <f>+E107+E100+E75-E57</f>
        <v>0</v>
      </c>
      <c r="F110" s="69">
        <f t="shared" si="33"/>
        <v>-952500</v>
      </c>
      <c r="G110" s="69">
        <f>+G107+G100+G75-G57</f>
        <v>-952500</v>
      </c>
      <c r="H110" s="69">
        <f>+H107+H100+H75-H57</f>
        <v>0</v>
      </c>
      <c r="I110" s="69">
        <f t="shared" si="34"/>
        <v>-952500</v>
      </c>
    </row>
    <row r="111" spans="2:9" hidden="1" x14ac:dyDescent="0.25">
      <c r="B111" s="45" t="s">
        <v>581</v>
      </c>
      <c r="C111" s="44" t="s">
        <v>277</v>
      </c>
      <c r="D111" s="13"/>
      <c r="E111" s="13"/>
      <c r="F111" s="14">
        <f t="shared" si="33"/>
        <v>0</v>
      </c>
      <c r="G111" s="13"/>
      <c r="H111" s="13"/>
      <c r="I111" s="14">
        <f t="shared" si="34"/>
        <v>0</v>
      </c>
    </row>
    <row r="112" spans="2:9" hidden="1" x14ac:dyDescent="0.25">
      <c r="B112" s="61" t="s">
        <v>582</v>
      </c>
      <c r="C112" s="44" t="s">
        <v>287</v>
      </c>
      <c r="D112" s="13"/>
      <c r="E112" s="13"/>
      <c r="F112" s="14">
        <f t="shared" si="33"/>
        <v>0</v>
      </c>
      <c r="G112" s="13"/>
      <c r="H112" s="13"/>
      <c r="I112" s="14">
        <f t="shared" si="34"/>
        <v>0</v>
      </c>
    </row>
    <row r="113" spans="1:9" x14ac:dyDescent="0.25">
      <c r="A113" s="2" t="s">
        <v>325</v>
      </c>
      <c r="B113" s="41" t="s">
        <v>288</v>
      </c>
      <c r="C113" s="41" t="s">
        <v>289</v>
      </c>
      <c r="D113" s="13"/>
      <c r="E113" s="13"/>
      <c r="F113" s="14">
        <f t="shared" si="33"/>
        <v>0</v>
      </c>
      <c r="G113" s="13"/>
      <c r="H113" s="13"/>
      <c r="I113" s="14">
        <f t="shared" si="34"/>
        <v>0</v>
      </c>
    </row>
    <row r="114" spans="1:9" ht="31.5" x14ac:dyDescent="0.25">
      <c r="A114" s="2" t="s">
        <v>592</v>
      </c>
      <c r="B114" s="41" t="s">
        <v>290</v>
      </c>
      <c r="C114" s="41" t="s">
        <v>289</v>
      </c>
      <c r="D114" s="13"/>
      <c r="E114" s="13"/>
      <c r="F114" s="14">
        <f t="shared" si="33"/>
        <v>0</v>
      </c>
      <c r="G114" s="13"/>
      <c r="H114" s="13"/>
      <c r="I114" s="14">
        <f t="shared" si="34"/>
        <v>0</v>
      </c>
    </row>
    <row r="115" spans="1:9" hidden="1" x14ac:dyDescent="0.25">
      <c r="B115" s="41" t="s">
        <v>291</v>
      </c>
      <c r="C115" s="41" t="s">
        <v>292</v>
      </c>
      <c r="D115" s="13"/>
      <c r="E115" s="13"/>
      <c r="F115" s="14">
        <f t="shared" si="33"/>
        <v>0</v>
      </c>
      <c r="G115" s="13"/>
      <c r="H115" s="13"/>
      <c r="I115" s="14">
        <f t="shared" si="34"/>
        <v>0</v>
      </c>
    </row>
    <row r="116" spans="1:9" ht="31.5" hidden="1" x14ac:dyDescent="0.25">
      <c r="B116" s="41" t="s">
        <v>293</v>
      </c>
      <c r="C116" s="41" t="s">
        <v>292</v>
      </c>
      <c r="D116" s="13"/>
      <c r="E116" s="13"/>
      <c r="F116" s="14">
        <f t="shared" si="33"/>
        <v>0</v>
      </c>
      <c r="G116" s="13"/>
      <c r="H116" s="13"/>
      <c r="I116" s="14">
        <f t="shared" si="34"/>
        <v>0</v>
      </c>
    </row>
    <row r="117" spans="1:9" x14ac:dyDescent="0.25">
      <c r="A117"/>
      <c r="B117" s="44" t="s">
        <v>294</v>
      </c>
      <c r="C117" s="44" t="s">
        <v>295</v>
      </c>
      <c r="D117" s="14">
        <f t="shared" ref="D117:I117" si="35">SUM(D113:D116)</f>
        <v>0</v>
      </c>
      <c r="E117" s="14">
        <f t="shared" si="35"/>
        <v>0</v>
      </c>
      <c r="F117" s="14">
        <f t="shared" si="35"/>
        <v>0</v>
      </c>
      <c r="G117" s="14">
        <f t="shared" si="35"/>
        <v>0</v>
      </c>
      <c r="H117" s="14">
        <f t="shared" si="35"/>
        <v>0</v>
      </c>
      <c r="I117" s="14">
        <f t="shared" si="35"/>
        <v>0</v>
      </c>
    </row>
    <row r="118" spans="1:9" hidden="1" x14ac:dyDescent="0.25">
      <c r="A118"/>
      <c r="B118" s="59" t="s">
        <v>296</v>
      </c>
      <c r="C118" s="41" t="s">
        <v>297</v>
      </c>
      <c r="D118" s="13"/>
      <c r="E118" s="13"/>
      <c r="F118" s="14">
        <f t="shared" ref="F118:F125" si="36">+E118+D118</f>
        <v>0</v>
      </c>
      <c r="G118" s="13"/>
      <c r="H118" s="13"/>
      <c r="I118" s="14">
        <f t="shared" ref="I118:I125" si="37">+H118+G118</f>
        <v>0</v>
      </c>
    </row>
    <row r="119" spans="1:9" hidden="1" x14ac:dyDescent="0.25">
      <c r="B119" s="59" t="s">
        <v>298</v>
      </c>
      <c r="C119" s="41" t="s">
        <v>299</v>
      </c>
      <c r="D119" s="13"/>
      <c r="E119" s="13"/>
      <c r="F119" s="14">
        <f t="shared" si="36"/>
        <v>0</v>
      </c>
      <c r="G119" s="13"/>
      <c r="H119" s="13"/>
      <c r="I119" s="14">
        <f t="shared" si="37"/>
        <v>0</v>
      </c>
    </row>
    <row r="120" spans="1:9" x14ac:dyDescent="0.25">
      <c r="A120" s="19" t="s">
        <v>593</v>
      </c>
      <c r="B120" s="59" t="s">
        <v>300</v>
      </c>
      <c r="C120" s="41" t="s">
        <v>301</v>
      </c>
      <c r="D120" s="13">
        <v>231687653</v>
      </c>
      <c r="E120" s="13"/>
      <c r="F120" s="14">
        <f t="shared" si="36"/>
        <v>231687653</v>
      </c>
      <c r="G120" s="13">
        <v>231755099</v>
      </c>
      <c r="H120" s="13"/>
      <c r="I120" s="14">
        <f t="shared" si="37"/>
        <v>231755099</v>
      </c>
    </row>
    <row r="121" spans="1:9" s="185" customFormat="1" x14ac:dyDescent="0.25">
      <c r="B121" s="186" t="s">
        <v>594</v>
      </c>
      <c r="C121" s="101"/>
      <c r="D121" s="80">
        <v>159739500</v>
      </c>
      <c r="E121" s="80"/>
      <c r="F121" s="93">
        <f t="shared" si="36"/>
        <v>159739500</v>
      </c>
      <c r="G121" s="80">
        <f>+G120-G122</f>
        <v>159806946</v>
      </c>
      <c r="H121" s="80"/>
      <c r="I121" s="93">
        <f t="shared" si="37"/>
        <v>159806946</v>
      </c>
    </row>
    <row r="122" spans="1:9" s="185" customFormat="1" x14ac:dyDescent="0.25">
      <c r="B122" s="187" t="s">
        <v>586</v>
      </c>
      <c r="C122" s="101"/>
      <c r="D122" s="80">
        <f>+D120-D121</f>
        <v>71948153</v>
      </c>
      <c r="E122" s="80">
        <f>+E120-E121</f>
        <v>0</v>
      </c>
      <c r="F122" s="93">
        <f t="shared" si="36"/>
        <v>71948153</v>
      </c>
      <c r="G122" s="80">
        <f>+D122</f>
        <v>71948153</v>
      </c>
      <c r="H122" s="80">
        <f>+H120-H121</f>
        <v>0</v>
      </c>
      <c r="I122" s="93">
        <f t="shared" si="37"/>
        <v>71948153</v>
      </c>
    </row>
    <row r="123" spans="1:9" hidden="1" x14ac:dyDescent="0.25">
      <c r="B123" s="59" t="s">
        <v>302</v>
      </c>
      <c r="C123" s="41" t="s">
        <v>303</v>
      </c>
      <c r="D123" s="13"/>
      <c r="E123" s="13"/>
      <c r="F123" s="14">
        <f t="shared" si="36"/>
        <v>0</v>
      </c>
      <c r="G123" s="13"/>
      <c r="H123" s="13"/>
      <c r="I123" s="14">
        <f t="shared" si="37"/>
        <v>0</v>
      </c>
    </row>
    <row r="124" spans="1:9" hidden="1" x14ac:dyDescent="0.25">
      <c r="B124" s="54" t="s">
        <v>304</v>
      </c>
      <c r="C124" s="41" t="s">
        <v>305</v>
      </c>
      <c r="D124" s="13"/>
      <c r="E124" s="13"/>
      <c r="F124" s="14">
        <f t="shared" si="36"/>
        <v>0</v>
      </c>
      <c r="G124" s="13"/>
      <c r="H124" s="13"/>
      <c r="I124" s="14">
        <f t="shared" si="37"/>
        <v>0</v>
      </c>
    </row>
    <row r="125" spans="1:9" hidden="1" x14ac:dyDescent="0.25">
      <c r="B125" s="54" t="s">
        <v>306</v>
      </c>
      <c r="C125" s="41" t="s">
        <v>307</v>
      </c>
      <c r="D125" s="13"/>
      <c r="E125" s="13"/>
      <c r="F125" s="14">
        <f t="shared" si="36"/>
        <v>0</v>
      </c>
      <c r="G125" s="13"/>
      <c r="H125" s="13"/>
      <c r="I125" s="14">
        <f t="shared" si="37"/>
        <v>0</v>
      </c>
    </row>
    <row r="126" spans="1:9" x14ac:dyDescent="0.25">
      <c r="B126" s="45" t="s">
        <v>308</v>
      </c>
      <c r="C126" s="44" t="s">
        <v>309</v>
      </c>
      <c r="D126" s="14">
        <f>SUM(D118:D125)+D117+D112+D111-D121-D122</f>
        <v>231687653</v>
      </c>
      <c r="E126" s="14">
        <f>SUM(E118:E125)+E117+E112+E111-E121-E122</f>
        <v>0</v>
      </c>
      <c r="F126" s="14">
        <f>SUM(F118:F124)+F117+F112+F111-F121-F122</f>
        <v>231687653</v>
      </c>
      <c r="G126" s="14">
        <f>SUM(G118:G125)+G117+G112+G111-G121-G122</f>
        <v>231755099</v>
      </c>
      <c r="H126" s="14">
        <f>SUM(H118:H125)+H117+H112+H111-H121-H122</f>
        <v>0</v>
      </c>
      <c r="I126" s="14">
        <f>SUM(I118:I124)+I117+I112+I111-I121-I122</f>
        <v>231755099</v>
      </c>
    </row>
    <row r="127" spans="1:9" hidden="1" x14ac:dyDescent="0.25">
      <c r="B127" s="59" t="s">
        <v>310</v>
      </c>
      <c r="C127" s="41" t="s">
        <v>311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4" t="s">
        <v>312</v>
      </c>
      <c r="C128" s="41" t="s">
        <v>313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4" t="s">
        <v>314</v>
      </c>
      <c r="C129" s="41" t="s">
        <v>315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2" t="s">
        <v>316</v>
      </c>
      <c r="C130" s="63" t="s">
        <v>317</v>
      </c>
      <c r="D130" s="57">
        <f>+D128+D127+D126+D129</f>
        <v>231687653</v>
      </c>
      <c r="E130" s="57">
        <f>+E128+E127+E126+E129</f>
        <v>0</v>
      </c>
      <c r="F130" s="57">
        <f>+F128+F127+F126</f>
        <v>231687653</v>
      </c>
      <c r="G130" s="57">
        <f>+G128+G127+G126+G129</f>
        <v>231755099</v>
      </c>
      <c r="H130" s="57">
        <f>+H128+H127+H126+H129</f>
        <v>0</v>
      </c>
      <c r="I130" s="57">
        <f>+I128+I127+I126</f>
        <v>231755099</v>
      </c>
    </row>
    <row r="131" spans="2:9" x14ac:dyDescent="0.25">
      <c r="B131" s="17" t="s">
        <v>318</v>
      </c>
      <c r="C131" s="17" t="s">
        <v>319</v>
      </c>
      <c r="D131" s="18">
        <f t="shared" ref="D131:I131" si="38">+D108+D130</f>
        <v>253570467</v>
      </c>
      <c r="E131" s="18">
        <f t="shared" si="38"/>
        <v>0</v>
      </c>
      <c r="F131" s="18">
        <f t="shared" si="38"/>
        <v>253570467</v>
      </c>
      <c r="G131" s="18">
        <f t="shared" si="38"/>
        <v>253637913</v>
      </c>
      <c r="H131" s="18">
        <f t="shared" si="38"/>
        <v>0</v>
      </c>
      <c r="I131" s="18">
        <f t="shared" si="38"/>
        <v>253637913</v>
      </c>
    </row>
    <row r="132" spans="2:9" x14ac:dyDescent="0.25">
      <c r="B132" s="2"/>
      <c r="C132" s="2"/>
      <c r="D132" s="3"/>
      <c r="E132" s="3"/>
      <c r="F132" s="65"/>
      <c r="G132" s="3"/>
      <c r="H132" s="3"/>
      <c r="I132" s="65"/>
    </row>
    <row r="133" spans="2:9" x14ac:dyDescent="0.25">
      <c r="B133" s="15" t="s">
        <v>320</v>
      </c>
      <c r="C133" s="15"/>
      <c r="D133" s="14">
        <f t="shared" ref="D133:I133" si="39">+D108-D58</f>
        <v>-231687653</v>
      </c>
      <c r="E133" s="14">
        <f t="shared" si="39"/>
        <v>0</v>
      </c>
      <c r="F133" s="14">
        <f t="shared" si="39"/>
        <v>-231687653</v>
      </c>
      <c r="G133" s="14">
        <f t="shared" si="39"/>
        <v>-231755099</v>
      </c>
      <c r="H133" s="14">
        <f t="shared" si="39"/>
        <v>0</v>
      </c>
      <c r="I133" s="14">
        <f t="shared" si="39"/>
        <v>-231755099</v>
      </c>
    </row>
    <row r="134" spans="2:9" x14ac:dyDescent="0.25">
      <c r="B134" s="15" t="s">
        <v>321</v>
      </c>
      <c r="C134" s="15"/>
      <c r="D134" s="14">
        <f t="shared" ref="D134:I134" si="40">+D130-D63</f>
        <v>231687653</v>
      </c>
      <c r="E134" s="14">
        <f t="shared" si="40"/>
        <v>0</v>
      </c>
      <c r="F134" s="14">
        <f t="shared" si="40"/>
        <v>231687653</v>
      </c>
      <c r="G134" s="14">
        <f t="shared" si="40"/>
        <v>231755099</v>
      </c>
      <c r="H134" s="14">
        <f t="shared" si="40"/>
        <v>0</v>
      </c>
      <c r="I134" s="14">
        <f t="shared" si="40"/>
        <v>231755099</v>
      </c>
    </row>
    <row r="135" spans="2:9" x14ac:dyDescent="0.25">
      <c r="B135" s="2"/>
      <c r="C135" s="2"/>
      <c r="D135" s="3"/>
      <c r="E135" s="3"/>
      <c r="F135" s="65"/>
      <c r="G135" s="3"/>
      <c r="H135" s="3"/>
      <c r="I135" s="65"/>
    </row>
    <row r="136" spans="2:9" x14ac:dyDescent="0.25">
      <c r="B136" s="70" t="s">
        <v>324</v>
      </c>
      <c r="C136" s="2"/>
      <c r="D136" s="3">
        <f t="shared" ref="D136:I136" si="41">+D131-D64</f>
        <v>0</v>
      </c>
      <c r="E136" s="3">
        <f t="shared" si="41"/>
        <v>0</v>
      </c>
      <c r="F136" s="3">
        <f t="shared" si="41"/>
        <v>0</v>
      </c>
      <c r="G136" s="3">
        <f t="shared" si="41"/>
        <v>0</v>
      </c>
      <c r="H136" s="3">
        <f t="shared" si="41"/>
        <v>0</v>
      </c>
      <c r="I136" s="3">
        <f t="shared" si="41"/>
        <v>0</v>
      </c>
    </row>
    <row r="137" spans="2:9" x14ac:dyDescent="0.25">
      <c r="B137" s="2"/>
      <c r="C137" s="2"/>
      <c r="D137" s="3"/>
      <c r="E137" s="3"/>
      <c r="F137" s="65"/>
      <c r="G137" s="3"/>
      <c r="H137" s="3"/>
      <c r="I137" s="65"/>
    </row>
    <row r="138" spans="2:9" x14ac:dyDescent="0.25">
      <c r="B138" s="2"/>
      <c r="C138" s="2"/>
      <c r="D138" s="3"/>
      <c r="E138" s="3"/>
      <c r="F138" s="65"/>
      <c r="G138" s="3"/>
      <c r="H138" s="3"/>
      <c r="I138" s="65"/>
    </row>
    <row r="139" spans="2:9" x14ac:dyDescent="0.25">
      <c r="B139" s="2"/>
      <c r="C139" s="2"/>
      <c r="D139" s="3"/>
      <c r="E139" s="3"/>
      <c r="F139" s="65"/>
      <c r="G139" s="3"/>
      <c r="H139" s="3"/>
      <c r="I139" s="65"/>
    </row>
    <row r="140" spans="2:9" x14ac:dyDescent="0.25">
      <c r="B140" s="2"/>
      <c r="C140" s="2"/>
      <c r="D140" s="3"/>
      <c r="E140" s="3"/>
      <c r="F140" s="65"/>
      <c r="G140" s="3"/>
      <c r="H140" s="3"/>
      <c r="I140" s="65"/>
    </row>
    <row r="141" spans="2:9" x14ac:dyDescent="0.25">
      <c r="B141" s="2"/>
      <c r="C141" s="2"/>
      <c r="D141" s="3"/>
      <c r="E141" s="3"/>
      <c r="F141" s="65"/>
      <c r="G141" s="3"/>
      <c r="H141" s="3"/>
      <c r="I141" s="65"/>
    </row>
    <row r="142" spans="2:9" x14ac:dyDescent="0.25">
      <c r="B142" s="2"/>
      <c r="C142" s="2"/>
      <c r="D142" s="3"/>
      <c r="E142" s="3"/>
      <c r="F142" s="65"/>
      <c r="G142" s="3"/>
      <c r="H142" s="3"/>
      <c r="I142" s="65"/>
    </row>
    <row r="143" spans="2:9" x14ac:dyDescent="0.25">
      <c r="B143" s="2"/>
      <c r="C143" s="2"/>
      <c r="D143" s="3"/>
      <c r="E143" s="3"/>
      <c r="F143" s="65"/>
      <c r="G143" s="3"/>
      <c r="H143" s="3"/>
      <c r="I143" s="65"/>
    </row>
    <row r="144" spans="2:9" x14ac:dyDescent="0.25">
      <c r="B144" s="2"/>
      <c r="C144" s="2"/>
      <c r="D144" s="3"/>
      <c r="E144" s="3"/>
      <c r="F144" s="65"/>
      <c r="G144" s="3"/>
      <c r="H144" s="3"/>
      <c r="I144" s="65"/>
    </row>
    <row r="145" spans="2:9" x14ac:dyDescent="0.25">
      <c r="B145" s="2"/>
      <c r="C145" s="2"/>
      <c r="D145" s="3"/>
      <c r="E145" s="3"/>
      <c r="F145" s="65"/>
      <c r="G145" s="3"/>
      <c r="H145" s="3"/>
      <c r="I145" s="65"/>
    </row>
    <row r="146" spans="2:9" x14ac:dyDescent="0.25">
      <c r="B146" s="2"/>
      <c r="C146" s="2"/>
      <c r="D146" s="3"/>
      <c r="E146" s="3"/>
      <c r="F146" s="65"/>
      <c r="G146" s="3"/>
      <c r="H146" s="3"/>
      <c r="I146" s="65"/>
    </row>
    <row r="147" spans="2:9" x14ac:dyDescent="0.25">
      <c r="B147" s="2"/>
      <c r="C147" s="2"/>
      <c r="D147" s="3"/>
      <c r="E147" s="3"/>
      <c r="F147" s="65"/>
      <c r="G147" s="3"/>
      <c r="H147" s="3"/>
      <c r="I147" s="65"/>
    </row>
    <row r="148" spans="2:9" x14ac:dyDescent="0.25">
      <c r="B148" s="2"/>
      <c r="C148" s="2"/>
      <c r="D148" s="3"/>
      <c r="E148" s="3"/>
      <c r="F148" s="65"/>
      <c r="G148" s="3"/>
      <c r="H148" s="3"/>
      <c r="I148" s="65"/>
    </row>
    <row r="149" spans="2:9" x14ac:dyDescent="0.25">
      <c r="B149" s="2"/>
      <c r="C149" s="2"/>
      <c r="D149" s="3"/>
      <c r="E149" s="3"/>
      <c r="F149" s="65"/>
      <c r="G149" s="3"/>
      <c r="H149" s="3"/>
      <c r="I149" s="65"/>
    </row>
    <row r="150" spans="2:9" x14ac:dyDescent="0.25">
      <c r="B150" s="2"/>
      <c r="C150" s="2"/>
      <c r="D150" s="3"/>
      <c r="E150" s="3"/>
      <c r="F150" s="65"/>
      <c r="G150" s="3"/>
      <c r="H150" s="3"/>
      <c r="I150" s="65"/>
    </row>
    <row r="151" spans="2:9" x14ac:dyDescent="0.25">
      <c r="B151" s="2"/>
      <c r="C151" s="2"/>
      <c r="D151" s="3"/>
      <c r="E151" s="3"/>
      <c r="F151" s="65"/>
      <c r="G151" s="3"/>
      <c r="H151" s="3"/>
      <c r="I151" s="65"/>
    </row>
    <row r="152" spans="2:9" x14ac:dyDescent="0.25">
      <c r="B152" s="2"/>
      <c r="C152" s="2"/>
      <c r="D152" s="3"/>
      <c r="E152" s="3"/>
      <c r="F152" s="65"/>
      <c r="G152" s="3"/>
      <c r="H152" s="3"/>
      <c r="I152" s="65"/>
    </row>
    <row r="153" spans="2:9" x14ac:dyDescent="0.25">
      <c r="B153" s="2"/>
      <c r="C153" s="2"/>
      <c r="D153" s="3"/>
      <c r="E153" s="3"/>
      <c r="F153" s="65"/>
      <c r="G153" s="3"/>
      <c r="H153" s="3"/>
      <c r="I153" s="65"/>
    </row>
    <row r="154" spans="2:9" x14ac:dyDescent="0.25">
      <c r="B154" s="2"/>
      <c r="C154" s="2"/>
      <c r="D154" s="3"/>
      <c r="E154" s="3"/>
      <c r="F154" s="65"/>
      <c r="G154" s="3"/>
      <c r="H154" s="3"/>
      <c r="I154" s="65"/>
    </row>
    <row r="155" spans="2:9" x14ac:dyDescent="0.25">
      <c r="B155" s="2"/>
      <c r="C155" s="2"/>
      <c r="D155" s="3"/>
      <c r="E155" s="3"/>
      <c r="F155" s="65"/>
      <c r="G155" s="3"/>
      <c r="H155" s="3"/>
      <c r="I155" s="65"/>
    </row>
    <row r="156" spans="2:9" x14ac:dyDescent="0.25">
      <c r="B156" s="2"/>
      <c r="C156" s="2"/>
      <c r="D156" s="3"/>
      <c r="E156" s="3"/>
      <c r="F156" s="65"/>
      <c r="G156" s="3"/>
      <c r="H156" s="3"/>
      <c r="I156" s="65"/>
    </row>
    <row r="157" spans="2:9" x14ac:dyDescent="0.25">
      <c r="B157" s="2"/>
      <c r="C157" s="2"/>
      <c r="D157" s="3"/>
      <c r="E157" s="3"/>
      <c r="F157" s="65"/>
      <c r="G157" s="3"/>
      <c r="H157" s="3"/>
      <c r="I157" s="65"/>
    </row>
    <row r="158" spans="2:9" x14ac:dyDescent="0.25">
      <c r="B158" s="2"/>
      <c r="C158" s="2"/>
      <c r="D158" s="3"/>
      <c r="E158" s="3"/>
      <c r="F158" s="65"/>
      <c r="G158" s="3"/>
      <c r="H158" s="3"/>
      <c r="I158" s="65"/>
    </row>
    <row r="159" spans="2:9" x14ac:dyDescent="0.25">
      <c r="B159" s="2"/>
      <c r="C159" s="2"/>
      <c r="D159" s="3"/>
      <c r="E159" s="3"/>
      <c r="F159" s="65"/>
      <c r="G159" s="3"/>
      <c r="H159" s="3"/>
      <c r="I159" s="65"/>
    </row>
    <row r="160" spans="2:9" x14ac:dyDescent="0.25">
      <c r="B160" s="2"/>
      <c r="C160" s="2"/>
      <c r="D160" s="3"/>
      <c r="E160" s="3"/>
      <c r="F160" s="65"/>
      <c r="G160" s="3"/>
      <c r="H160" s="3"/>
      <c r="I160" s="65"/>
    </row>
    <row r="161" spans="2:9" x14ac:dyDescent="0.25">
      <c r="B161" s="2"/>
      <c r="C161" s="2"/>
      <c r="D161" s="3"/>
      <c r="E161" s="3"/>
      <c r="F161" s="65"/>
      <c r="G161" s="3"/>
      <c r="H161" s="3"/>
      <c r="I161" s="65"/>
    </row>
    <row r="162" spans="2:9" x14ac:dyDescent="0.25">
      <c r="B162" s="2"/>
      <c r="C162" s="2"/>
      <c r="D162" s="3"/>
      <c r="E162" s="3"/>
      <c r="F162" s="65"/>
      <c r="G162" s="3"/>
      <c r="H162" s="3"/>
      <c r="I162" s="65"/>
    </row>
    <row r="163" spans="2:9" x14ac:dyDescent="0.25">
      <c r="B163" s="2"/>
      <c r="C163" s="2"/>
      <c r="D163" s="3"/>
      <c r="E163" s="3"/>
      <c r="F163" s="65"/>
      <c r="G163" s="3"/>
      <c r="H163" s="3"/>
      <c r="I163" s="65"/>
    </row>
    <row r="164" spans="2:9" x14ac:dyDescent="0.25">
      <c r="B164" s="2"/>
      <c r="C164" s="2"/>
      <c r="D164" s="3"/>
      <c r="E164" s="3"/>
      <c r="F164" s="65"/>
      <c r="G164" s="3"/>
      <c r="H164" s="3"/>
      <c r="I164" s="65"/>
    </row>
    <row r="165" spans="2:9" x14ac:dyDescent="0.25">
      <c r="B165" s="2"/>
      <c r="C165" s="2"/>
      <c r="D165" s="3"/>
      <c r="E165" s="3"/>
      <c r="F165" s="65"/>
      <c r="G165" s="3"/>
      <c r="H165" s="3"/>
      <c r="I165" s="65"/>
    </row>
    <row r="166" spans="2:9" x14ac:dyDescent="0.25">
      <c r="B166" s="2"/>
      <c r="C166" s="2"/>
      <c r="D166" s="3"/>
      <c r="E166" s="3"/>
      <c r="F166" s="65"/>
      <c r="G166" s="3"/>
      <c r="H166" s="3"/>
      <c r="I166" s="65"/>
    </row>
    <row r="167" spans="2:9" x14ac:dyDescent="0.25">
      <c r="B167" s="2"/>
      <c r="C167" s="2"/>
      <c r="D167" s="3"/>
      <c r="E167" s="3"/>
      <c r="F167" s="65"/>
      <c r="G167" s="3"/>
      <c r="H167" s="3"/>
      <c r="I167" s="65"/>
    </row>
    <row r="168" spans="2:9" x14ac:dyDescent="0.25">
      <c r="B168" s="2"/>
      <c r="C168" s="2"/>
      <c r="D168" s="3"/>
      <c r="E168" s="3"/>
      <c r="F168" s="65"/>
      <c r="G168" s="3"/>
      <c r="H168" s="3"/>
      <c r="I168" s="65"/>
    </row>
    <row r="169" spans="2:9" x14ac:dyDescent="0.25">
      <c r="B169" s="2"/>
      <c r="C169" s="2"/>
      <c r="D169" s="3"/>
      <c r="E169" s="3"/>
      <c r="F169" s="65"/>
      <c r="G169" s="3"/>
      <c r="H169" s="3"/>
      <c r="I169" s="65"/>
    </row>
    <row r="170" spans="2:9" x14ac:dyDescent="0.25">
      <c r="B170" s="2"/>
      <c r="C170" s="2"/>
      <c r="D170" s="3"/>
      <c r="E170" s="3"/>
      <c r="F170" s="65"/>
      <c r="G170" s="3"/>
      <c r="H170" s="3"/>
      <c r="I170" s="65"/>
    </row>
    <row r="171" spans="2:9" x14ac:dyDescent="0.25">
      <c r="B171" s="2"/>
      <c r="C171" s="2"/>
      <c r="D171" s="3"/>
      <c r="E171" s="3"/>
      <c r="F171" s="65"/>
      <c r="G171" s="3"/>
      <c r="H171" s="3"/>
      <c r="I171" s="65"/>
    </row>
    <row r="172" spans="2:9" x14ac:dyDescent="0.25">
      <c r="B172" s="2"/>
      <c r="C172" s="2"/>
      <c r="D172" s="3"/>
      <c r="E172" s="3"/>
      <c r="F172" s="65"/>
      <c r="G172" s="3"/>
      <c r="H172" s="3"/>
      <c r="I172" s="65"/>
    </row>
    <row r="173" spans="2:9" x14ac:dyDescent="0.25">
      <c r="B173" s="2"/>
      <c r="C173" s="2"/>
      <c r="D173" s="3"/>
      <c r="E173" s="3"/>
      <c r="F173" s="65"/>
      <c r="G173" s="3"/>
      <c r="H173" s="3"/>
      <c r="I173" s="65"/>
    </row>
    <row r="174" spans="2:9" x14ac:dyDescent="0.25">
      <c r="B174" s="2"/>
      <c r="C174" s="2"/>
      <c r="D174" s="3"/>
      <c r="E174" s="3"/>
      <c r="F174" s="65"/>
      <c r="G174" s="3"/>
      <c r="H174" s="3"/>
      <c r="I174" s="65"/>
    </row>
    <row r="175" spans="2:9" x14ac:dyDescent="0.25">
      <c r="B175" s="2"/>
      <c r="C175" s="2"/>
      <c r="D175" s="3"/>
      <c r="E175" s="3"/>
      <c r="F175" s="65"/>
      <c r="G175" s="3"/>
      <c r="H175" s="3"/>
      <c r="I175" s="65"/>
    </row>
    <row r="176" spans="2:9" x14ac:dyDescent="0.25">
      <c r="B176" s="2"/>
      <c r="C176" s="2"/>
      <c r="D176" s="3"/>
      <c r="E176" s="3"/>
      <c r="F176" s="65"/>
      <c r="G176" s="3"/>
      <c r="H176" s="3"/>
      <c r="I176" s="65"/>
    </row>
    <row r="177" spans="2:9" x14ac:dyDescent="0.25">
      <c r="B177" s="2"/>
      <c r="C177" s="2"/>
      <c r="D177" s="3"/>
      <c r="E177" s="3"/>
      <c r="F177" s="65"/>
      <c r="G177" s="3"/>
      <c r="H177" s="3"/>
      <c r="I177" s="65"/>
    </row>
    <row r="178" spans="2:9" x14ac:dyDescent="0.25">
      <c r="B178" s="2"/>
      <c r="C178" s="2"/>
      <c r="D178" s="3"/>
      <c r="E178" s="3"/>
      <c r="F178" s="65"/>
      <c r="G178" s="3"/>
      <c r="H178" s="3"/>
      <c r="I178" s="65"/>
    </row>
    <row r="179" spans="2:9" x14ac:dyDescent="0.25">
      <c r="B179" s="2"/>
      <c r="C179" s="2"/>
      <c r="D179" s="3"/>
      <c r="E179" s="3"/>
      <c r="F179" s="65"/>
      <c r="G179" s="3"/>
      <c r="H179" s="3"/>
      <c r="I179" s="65"/>
    </row>
    <row r="180" spans="2:9" x14ac:dyDescent="0.25">
      <c r="B180" s="2"/>
      <c r="C180" s="2"/>
      <c r="D180" s="3"/>
      <c r="E180" s="3"/>
      <c r="F180" s="65"/>
      <c r="G180" s="3"/>
      <c r="H180" s="3"/>
      <c r="I180" s="65"/>
    </row>
    <row r="181" spans="2:9" x14ac:dyDescent="0.25">
      <c r="B181" s="2"/>
      <c r="C181" s="2"/>
      <c r="D181" s="3"/>
      <c r="E181" s="3"/>
      <c r="F181" s="65"/>
      <c r="G181" s="3"/>
      <c r="H181" s="3"/>
      <c r="I181" s="65"/>
    </row>
    <row r="182" spans="2:9" x14ac:dyDescent="0.25">
      <c r="B182" s="2"/>
      <c r="C182" s="2"/>
      <c r="D182" s="3"/>
      <c r="E182" s="3"/>
      <c r="F182" s="65"/>
      <c r="G182" s="3"/>
      <c r="H182" s="3"/>
      <c r="I182" s="65"/>
    </row>
    <row r="183" spans="2:9" x14ac:dyDescent="0.25">
      <c r="B183" s="2"/>
      <c r="C183" s="2"/>
      <c r="D183" s="3"/>
      <c r="E183" s="3"/>
      <c r="F183" s="65"/>
      <c r="G183" s="3"/>
      <c r="H183" s="3"/>
      <c r="I183" s="65"/>
    </row>
    <row r="184" spans="2:9" x14ac:dyDescent="0.25">
      <c r="B184" s="2"/>
      <c r="C184" s="2"/>
      <c r="D184" s="3"/>
      <c r="E184" s="3"/>
      <c r="F184" s="65"/>
      <c r="G184" s="3"/>
      <c r="H184" s="3"/>
      <c r="I184" s="65"/>
    </row>
    <row r="185" spans="2:9" x14ac:dyDescent="0.25">
      <c r="B185" s="2"/>
      <c r="C185" s="2"/>
      <c r="D185" s="3"/>
      <c r="E185" s="3"/>
      <c r="F185" s="65"/>
      <c r="G185" s="3"/>
      <c r="H185" s="3"/>
      <c r="I185" s="65"/>
    </row>
    <row r="186" spans="2:9" x14ac:dyDescent="0.25">
      <c r="B186" s="2"/>
      <c r="C186" s="2"/>
      <c r="D186" s="3"/>
      <c r="E186" s="3"/>
      <c r="F186" s="65"/>
      <c r="G186" s="3"/>
      <c r="H186" s="3"/>
      <c r="I186" s="65"/>
    </row>
    <row r="187" spans="2:9" x14ac:dyDescent="0.25">
      <c r="B187" s="2"/>
      <c r="C187" s="2"/>
      <c r="D187" s="3"/>
      <c r="E187" s="3"/>
      <c r="F187" s="65"/>
      <c r="G187" s="3"/>
      <c r="H187" s="3"/>
      <c r="I187" s="65"/>
    </row>
    <row r="188" spans="2:9" x14ac:dyDescent="0.25">
      <c r="B188" s="2"/>
      <c r="C188" s="2"/>
      <c r="D188" s="3"/>
      <c r="E188" s="3"/>
      <c r="F188" s="65"/>
      <c r="G188" s="3"/>
      <c r="H188" s="3"/>
      <c r="I188" s="65"/>
    </row>
    <row r="189" spans="2:9" x14ac:dyDescent="0.25">
      <c r="B189" s="2"/>
      <c r="C189" s="2"/>
      <c r="D189" s="3"/>
      <c r="E189" s="3"/>
      <c r="F189" s="65"/>
      <c r="G189" s="3"/>
      <c r="H189" s="3"/>
      <c r="I189" s="65"/>
    </row>
    <row r="190" spans="2:9" x14ac:dyDescent="0.25">
      <c r="B190" s="2"/>
      <c r="C190" s="2"/>
      <c r="D190" s="3"/>
      <c r="E190" s="3"/>
      <c r="F190" s="65"/>
      <c r="G190" s="3"/>
      <c r="H190" s="3"/>
      <c r="I190" s="65"/>
    </row>
    <row r="191" spans="2:9" x14ac:dyDescent="0.25">
      <c r="B191" s="2"/>
      <c r="C191" s="2"/>
      <c r="D191" s="3"/>
      <c r="E191" s="3"/>
      <c r="F191" s="65"/>
      <c r="G191" s="3"/>
      <c r="H191" s="3"/>
      <c r="I191" s="65"/>
    </row>
    <row r="192" spans="2:9" x14ac:dyDescent="0.25">
      <c r="B192" s="2"/>
      <c r="C192" s="2"/>
      <c r="D192" s="3"/>
      <c r="E192" s="3"/>
      <c r="F192" s="65"/>
      <c r="G192" s="3"/>
      <c r="H192" s="3"/>
      <c r="I192" s="65"/>
    </row>
    <row r="193" spans="2:9" x14ac:dyDescent="0.25">
      <c r="B193" s="2"/>
      <c r="C193" s="2"/>
      <c r="D193" s="3"/>
      <c r="E193" s="3"/>
      <c r="F193" s="65"/>
      <c r="G193" s="3"/>
      <c r="H193" s="3"/>
      <c r="I193" s="65"/>
    </row>
    <row r="194" spans="2:9" x14ac:dyDescent="0.25">
      <c r="B194" s="2"/>
      <c r="C194" s="2"/>
      <c r="D194" s="3"/>
      <c r="E194" s="3"/>
      <c r="F194" s="65"/>
      <c r="G194" s="3"/>
      <c r="H194" s="3"/>
      <c r="I194" s="65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8194444444444445" right="0.24513888888888888" top="0.59027777777777779" bottom="0.51180555555555551" header="0.51180555555555551" footer="0.31527777777777777"/>
  <pageSetup paperSize="9" scale="57" firstPageNumber="0" orientation="portrait" horizontalDpi="300" verticalDpi="300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L260"/>
  <sheetViews>
    <sheetView view="pageBreakPreview" topLeftCell="C1" zoomScale="80" zoomScaleSheetLayoutView="80" workbookViewId="0">
      <selection activeCell="I1" sqref="I1"/>
    </sheetView>
  </sheetViews>
  <sheetFormatPr defaultColWidth="11.5703125" defaultRowHeight="15.75" x14ac:dyDescent="0.25"/>
  <cols>
    <col min="1" max="1" width="10.7109375" style="19" customWidth="1"/>
    <col min="2" max="2" width="67" style="19" customWidth="1"/>
    <col min="3" max="3" width="10.140625" style="19" customWidth="1"/>
    <col min="4" max="4" width="15.7109375" style="19" customWidth="1"/>
    <col min="5" max="5" width="14.28515625" style="19" customWidth="1"/>
    <col min="6" max="6" width="14.28515625" style="20" customWidth="1"/>
    <col min="7" max="7" width="14.85546875" style="19" customWidth="1"/>
    <col min="8" max="8" width="14.42578125" style="19" customWidth="1"/>
    <col min="9" max="9" width="14.42578125" style="20" customWidth="1"/>
    <col min="10" max="246" width="9.140625" style="19" customWidth="1"/>
  </cols>
  <sheetData>
    <row r="1" spans="2:9" s="2" customFormat="1" ht="18.75" x14ac:dyDescent="0.25">
      <c r="I1" s="4" t="s">
        <v>908</v>
      </c>
    </row>
    <row r="2" spans="2:9" s="2" customFormat="1" ht="20.25" x14ac:dyDescent="0.3">
      <c r="B2" s="180" t="s">
        <v>595</v>
      </c>
      <c r="I2" s="5" t="str">
        <f>+'8 PH'!I2</f>
        <v>a 2/2020.(II.27. ) önkormányzati rendelethez</v>
      </c>
    </row>
    <row r="3" spans="2:9" s="2" customFormat="1" x14ac:dyDescent="0.25">
      <c r="B3" s="31" t="s">
        <v>768</v>
      </c>
      <c r="C3" s="25"/>
      <c r="D3" s="25"/>
      <c r="E3" s="25"/>
      <c r="F3" s="26"/>
      <c r="G3" s="25"/>
      <c r="H3" s="25"/>
      <c r="I3" s="26"/>
    </row>
    <row r="4" spans="2:9" s="2" customFormat="1" x14ac:dyDescent="0.25">
      <c r="B4" s="29" t="s">
        <v>717</v>
      </c>
      <c r="C4" s="30"/>
      <c r="D4" s="30"/>
      <c r="E4" s="30"/>
      <c r="F4" s="31"/>
      <c r="G4" s="30"/>
      <c r="H4" s="30"/>
      <c r="I4" s="31"/>
    </row>
    <row r="5" spans="2:9" ht="15.75" customHeight="1" x14ac:dyDescent="0.25">
      <c r="B5" s="34"/>
      <c r="D5" s="583" t="s">
        <v>6</v>
      </c>
      <c r="E5" s="583"/>
      <c r="F5" s="583"/>
      <c r="G5" s="583" t="s">
        <v>7</v>
      </c>
      <c r="H5" s="583"/>
      <c r="I5" s="583"/>
    </row>
    <row r="6" spans="2:9" ht="31.5" x14ac:dyDescent="0.25">
      <c r="B6" s="8" t="s">
        <v>8</v>
      </c>
      <c r="C6" s="35" t="s">
        <v>33</v>
      </c>
      <c r="D6" s="36" t="s">
        <v>9</v>
      </c>
      <c r="E6" s="36" t="s">
        <v>10</v>
      </c>
      <c r="F6" s="35" t="s">
        <v>515</v>
      </c>
      <c r="G6" s="36" t="s">
        <v>9</v>
      </c>
      <c r="H6" s="36" t="s">
        <v>10</v>
      </c>
      <c r="I6" s="35" t="s">
        <v>515</v>
      </c>
    </row>
    <row r="7" spans="2:9" x14ac:dyDescent="0.25">
      <c r="B7" s="39" t="s">
        <v>34</v>
      </c>
      <c r="C7" s="40" t="s">
        <v>35</v>
      </c>
      <c r="D7" s="398">
        <v>115721218</v>
      </c>
      <c r="E7" s="398">
        <v>145831023</v>
      </c>
      <c r="F7" s="14">
        <f>+D7+E7</f>
        <v>261552241</v>
      </c>
      <c r="G7" s="398">
        <v>115721418</v>
      </c>
      <c r="H7" s="398">
        <v>145831023</v>
      </c>
      <c r="I7" s="14">
        <f>+G7+H7</f>
        <v>261552441</v>
      </c>
    </row>
    <row r="8" spans="2:9" x14ac:dyDescent="0.25">
      <c r="B8" s="41" t="s">
        <v>36</v>
      </c>
      <c r="C8" s="40" t="s">
        <v>37</v>
      </c>
      <c r="D8" s="398">
        <v>31011120</v>
      </c>
      <c r="E8" s="398">
        <v>31625820</v>
      </c>
      <c r="F8" s="14">
        <f>+D8+E8</f>
        <v>62636940</v>
      </c>
      <c r="G8" s="398">
        <v>31011120</v>
      </c>
      <c r="H8" s="398">
        <v>31625820</v>
      </c>
      <c r="I8" s="14">
        <f>+G8+H8</f>
        <v>62636940</v>
      </c>
    </row>
    <row r="9" spans="2:9" x14ac:dyDescent="0.25">
      <c r="B9" s="42" t="s">
        <v>38</v>
      </c>
      <c r="C9" s="43" t="s">
        <v>39</v>
      </c>
      <c r="D9" s="14">
        <f t="shared" ref="D9:I9" si="0">SUM(D7:D8)</f>
        <v>146732338</v>
      </c>
      <c r="E9" s="14">
        <f t="shared" si="0"/>
        <v>177456843</v>
      </c>
      <c r="F9" s="14">
        <f t="shared" si="0"/>
        <v>324189181</v>
      </c>
      <c r="G9" s="14">
        <f>SUM(G7:G8)</f>
        <v>146732538</v>
      </c>
      <c r="H9" s="14">
        <f>SUM(H7:H8)</f>
        <v>177456843</v>
      </c>
      <c r="I9" s="14">
        <f t="shared" si="0"/>
        <v>324189381</v>
      </c>
    </row>
    <row r="10" spans="2:9" x14ac:dyDescent="0.25">
      <c r="B10" s="44" t="s">
        <v>40</v>
      </c>
      <c r="C10" s="43" t="s">
        <v>41</v>
      </c>
      <c r="D10" s="398">
        <v>23343927</v>
      </c>
      <c r="E10" s="398">
        <v>21629274</v>
      </c>
      <c r="F10" s="14">
        <f t="shared" ref="F10:F15" si="1">+D10+E10</f>
        <v>44973201</v>
      </c>
      <c r="G10" s="398">
        <f>23343927+35</f>
        <v>23343962</v>
      </c>
      <c r="H10" s="398">
        <v>21629274</v>
      </c>
      <c r="I10" s="14">
        <f t="shared" ref="I10:I15" si="2">+G10+H10</f>
        <v>44973236</v>
      </c>
    </row>
    <row r="11" spans="2:9" x14ac:dyDescent="0.25">
      <c r="B11" s="41" t="s">
        <v>42</v>
      </c>
      <c r="C11" s="40" t="s">
        <v>43</v>
      </c>
      <c r="D11" s="398">
        <v>27124011</v>
      </c>
      <c r="E11" s="398">
        <v>22849488</v>
      </c>
      <c r="F11" s="14">
        <f t="shared" si="1"/>
        <v>49973499</v>
      </c>
      <c r="G11" s="398">
        <v>27124011</v>
      </c>
      <c r="H11" s="398">
        <v>22849488</v>
      </c>
      <c r="I11" s="14">
        <f t="shared" si="2"/>
        <v>49973499</v>
      </c>
    </row>
    <row r="12" spans="2:9" x14ac:dyDescent="0.25">
      <c r="B12" s="41" t="s">
        <v>44</v>
      </c>
      <c r="C12" s="40" t="s">
        <v>45</v>
      </c>
      <c r="D12" s="398">
        <v>865000</v>
      </c>
      <c r="E12" s="398">
        <v>660000</v>
      </c>
      <c r="F12" s="14">
        <f t="shared" si="1"/>
        <v>1525000</v>
      </c>
      <c r="G12" s="398">
        <v>865000</v>
      </c>
      <c r="H12" s="398">
        <v>660000</v>
      </c>
      <c r="I12" s="14">
        <f t="shared" si="2"/>
        <v>1525000</v>
      </c>
    </row>
    <row r="13" spans="2:9" x14ac:dyDescent="0.25">
      <c r="B13" s="41" t="s">
        <v>46</v>
      </c>
      <c r="C13" s="40" t="s">
        <v>47</v>
      </c>
      <c r="D13" s="398">
        <v>25205000</v>
      </c>
      <c r="E13" s="398">
        <v>55420400</v>
      </c>
      <c r="F13" s="14">
        <f t="shared" si="1"/>
        <v>80625400</v>
      </c>
      <c r="G13" s="398">
        <v>25205000</v>
      </c>
      <c r="H13" s="398">
        <v>55420400</v>
      </c>
      <c r="I13" s="14">
        <f t="shared" si="2"/>
        <v>80625400</v>
      </c>
    </row>
    <row r="14" spans="2:9" x14ac:dyDescent="0.25">
      <c r="B14" s="41" t="s">
        <v>48</v>
      </c>
      <c r="C14" s="40" t="s">
        <v>49</v>
      </c>
      <c r="D14" s="398">
        <v>1800000</v>
      </c>
      <c r="E14" s="398">
        <v>1075000</v>
      </c>
      <c r="F14" s="14">
        <f t="shared" si="1"/>
        <v>2875000</v>
      </c>
      <c r="G14" s="398">
        <v>1800000</v>
      </c>
      <c r="H14" s="398">
        <v>1075000</v>
      </c>
      <c r="I14" s="14">
        <f t="shared" si="2"/>
        <v>2875000</v>
      </c>
    </row>
    <row r="15" spans="2:9" x14ac:dyDescent="0.25">
      <c r="B15" s="41" t="s">
        <v>50</v>
      </c>
      <c r="C15" s="40" t="s">
        <v>51</v>
      </c>
      <c r="D15" s="398">
        <v>17799233</v>
      </c>
      <c r="E15" s="398">
        <v>25451015</v>
      </c>
      <c r="F15" s="14">
        <f t="shared" si="1"/>
        <v>43250248</v>
      </c>
      <c r="G15" s="398">
        <f>65648259-H15</f>
        <v>40197244</v>
      </c>
      <c r="H15" s="398">
        <v>25451015</v>
      </c>
      <c r="I15" s="14">
        <f t="shared" si="2"/>
        <v>65648259</v>
      </c>
    </row>
    <row r="16" spans="2:9" x14ac:dyDescent="0.25">
      <c r="B16" s="44" t="s">
        <v>52</v>
      </c>
      <c r="C16" s="43" t="s">
        <v>53</v>
      </c>
      <c r="D16" s="14">
        <f t="shared" ref="D16:I16" si="3">SUM(D11:D15)</f>
        <v>72793244</v>
      </c>
      <c r="E16" s="14">
        <f t="shared" si="3"/>
        <v>105455903</v>
      </c>
      <c r="F16" s="14">
        <f t="shared" si="3"/>
        <v>178249147</v>
      </c>
      <c r="G16" s="14">
        <f>SUM(G11:G15)</f>
        <v>95191255</v>
      </c>
      <c r="H16" s="14">
        <f>SUM(H11:H15)</f>
        <v>105455903</v>
      </c>
      <c r="I16" s="14">
        <f t="shared" si="3"/>
        <v>200647158</v>
      </c>
    </row>
    <row r="17" spans="2:9" x14ac:dyDescent="0.25">
      <c r="B17" s="45" t="s">
        <v>54</v>
      </c>
      <c r="C17" s="43" t="s">
        <v>55</v>
      </c>
      <c r="D17" s="13"/>
      <c r="E17" s="13"/>
      <c r="F17" s="14">
        <f t="shared" ref="F17:F31" si="4">+D17+E17</f>
        <v>0</v>
      </c>
      <c r="G17" s="13"/>
      <c r="H17" s="13"/>
      <c r="I17" s="14">
        <f t="shared" ref="I17:I31" si="5">+G17+H17</f>
        <v>0</v>
      </c>
    </row>
    <row r="18" spans="2:9" hidden="1" x14ac:dyDescent="0.25">
      <c r="B18" s="46" t="s">
        <v>56</v>
      </c>
      <c r="C18" s="40" t="s">
        <v>57</v>
      </c>
      <c r="D18" s="13"/>
      <c r="E18" s="13"/>
      <c r="F18" s="14">
        <f t="shared" si="4"/>
        <v>0</v>
      </c>
      <c r="G18" s="13"/>
      <c r="H18" s="13"/>
      <c r="I18" s="14">
        <f t="shared" si="5"/>
        <v>0</v>
      </c>
    </row>
    <row r="19" spans="2:9" hidden="1" x14ac:dyDescent="0.25">
      <c r="B19" s="46" t="s">
        <v>58</v>
      </c>
      <c r="C19" s="40" t="s">
        <v>59</v>
      </c>
      <c r="D19" s="13">
        <v>0</v>
      </c>
      <c r="E19" s="13">
        <v>0</v>
      </c>
      <c r="F19" s="14">
        <f t="shared" si="4"/>
        <v>0</v>
      </c>
      <c r="G19" s="13">
        <v>0</v>
      </c>
      <c r="H19" s="13">
        <v>0</v>
      </c>
      <c r="I19" s="14">
        <f t="shared" si="5"/>
        <v>0</v>
      </c>
    </row>
    <row r="20" spans="2:9" ht="31.5" hidden="1" x14ac:dyDescent="0.25">
      <c r="B20" s="46" t="s">
        <v>60</v>
      </c>
      <c r="C20" s="40" t="s">
        <v>61</v>
      </c>
      <c r="D20" s="13"/>
      <c r="E20" s="13"/>
      <c r="F20" s="14">
        <f t="shared" si="4"/>
        <v>0</v>
      </c>
      <c r="G20" s="13"/>
      <c r="H20" s="13"/>
      <c r="I20" s="14">
        <f t="shared" si="5"/>
        <v>0</v>
      </c>
    </row>
    <row r="21" spans="2:9" ht="31.5" hidden="1" x14ac:dyDescent="0.25">
      <c r="B21" s="46" t="s">
        <v>62</v>
      </c>
      <c r="C21" s="40" t="s">
        <v>63</v>
      </c>
      <c r="D21" s="13"/>
      <c r="E21" s="13"/>
      <c r="F21" s="14">
        <f t="shared" si="4"/>
        <v>0</v>
      </c>
      <c r="G21" s="13"/>
      <c r="H21" s="13"/>
      <c r="I21" s="14">
        <f t="shared" si="5"/>
        <v>0</v>
      </c>
    </row>
    <row r="22" spans="2:9" ht="31.5" hidden="1" x14ac:dyDescent="0.25">
      <c r="B22" s="46" t="s">
        <v>587</v>
      </c>
      <c r="C22" s="40" t="s">
        <v>65</v>
      </c>
      <c r="D22" s="13"/>
      <c r="E22" s="13"/>
      <c r="F22" s="14">
        <f t="shared" si="4"/>
        <v>0</v>
      </c>
      <c r="G22" s="13"/>
      <c r="H22" s="13"/>
      <c r="I22" s="14">
        <f t="shared" si="5"/>
        <v>0</v>
      </c>
    </row>
    <row r="23" spans="2:9" x14ac:dyDescent="0.25">
      <c r="B23" s="46" t="s">
        <v>66</v>
      </c>
      <c r="C23" s="40" t="s">
        <v>67</v>
      </c>
      <c r="D23" s="13">
        <v>0</v>
      </c>
      <c r="E23" s="13"/>
      <c r="F23" s="14">
        <f t="shared" si="4"/>
        <v>0</v>
      </c>
      <c r="G23" s="13">
        <v>0</v>
      </c>
      <c r="H23" s="13"/>
      <c r="I23" s="14">
        <f t="shared" si="5"/>
        <v>0</v>
      </c>
    </row>
    <row r="24" spans="2:9" ht="31.5" hidden="1" x14ac:dyDescent="0.25">
      <c r="B24" s="46" t="s">
        <v>68</v>
      </c>
      <c r="C24" s="40" t="s">
        <v>69</v>
      </c>
      <c r="D24" s="13"/>
      <c r="E24" s="13"/>
      <c r="F24" s="14">
        <f t="shared" si="4"/>
        <v>0</v>
      </c>
      <c r="G24" s="13"/>
      <c r="H24" s="13"/>
      <c r="I24" s="14">
        <f t="shared" si="5"/>
        <v>0</v>
      </c>
    </row>
    <row r="25" spans="2:9" ht="31.5" hidden="1" x14ac:dyDescent="0.25">
      <c r="B25" s="46" t="s">
        <v>70</v>
      </c>
      <c r="C25" s="40" t="s">
        <v>71</v>
      </c>
      <c r="D25" s="13"/>
      <c r="E25" s="13"/>
      <c r="F25" s="14">
        <f t="shared" si="4"/>
        <v>0</v>
      </c>
      <c r="G25" s="13"/>
      <c r="H25" s="13"/>
      <c r="I25" s="14">
        <f t="shared" si="5"/>
        <v>0</v>
      </c>
    </row>
    <row r="26" spans="2:9" hidden="1" x14ac:dyDescent="0.25">
      <c r="B26" s="46" t="s">
        <v>72</v>
      </c>
      <c r="C26" s="40" t="s">
        <v>73</v>
      </c>
      <c r="D26" s="13"/>
      <c r="E26" s="13"/>
      <c r="F26" s="14">
        <f t="shared" si="4"/>
        <v>0</v>
      </c>
      <c r="G26" s="13"/>
      <c r="H26" s="13"/>
      <c r="I26" s="14">
        <f t="shared" si="5"/>
        <v>0</v>
      </c>
    </row>
    <row r="27" spans="2:9" hidden="1" x14ac:dyDescent="0.25">
      <c r="B27" s="47" t="s">
        <v>74</v>
      </c>
      <c r="C27" s="40" t="s">
        <v>75</v>
      </c>
      <c r="D27" s="13"/>
      <c r="E27" s="13"/>
      <c r="F27" s="14">
        <f t="shared" si="4"/>
        <v>0</v>
      </c>
      <c r="G27" s="13"/>
      <c r="H27" s="13"/>
      <c r="I27" s="14">
        <f t="shared" si="5"/>
        <v>0</v>
      </c>
    </row>
    <row r="28" spans="2:9" hidden="1" x14ac:dyDescent="0.25">
      <c r="B28" s="47" t="s">
        <v>588</v>
      </c>
      <c r="C28" s="40" t="s">
        <v>77</v>
      </c>
      <c r="D28" s="13"/>
      <c r="E28" s="13"/>
      <c r="F28" s="14">
        <f t="shared" si="4"/>
        <v>0</v>
      </c>
      <c r="G28" s="13"/>
      <c r="H28" s="13"/>
      <c r="I28" s="14">
        <f t="shared" si="5"/>
        <v>0</v>
      </c>
    </row>
    <row r="29" spans="2:9" x14ac:dyDescent="0.25">
      <c r="B29" s="46" t="s">
        <v>78</v>
      </c>
      <c r="C29" s="40" t="s">
        <v>79</v>
      </c>
      <c r="D29" s="13">
        <v>1100000</v>
      </c>
      <c r="E29" s="13"/>
      <c r="F29" s="14">
        <f t="shared" si="4"/>
        <v>1100000</v>
      </c>
      <c r="G29" s="13">
        <v>1100000</v>
      </c>
      <c r="H29" s="13"/>
      <c r="I29" s="14">
        <f t="shared" si="5"/>
        <v>1100000</v>
      </c>
    </row>
    <row r="30" spans="2:9" x14ac:dyDescent="0.25">
      <c r="B30" s="47" t="s">
        <v>80</v>
      </c>
      <c r="C30" s="40" t="s">
        <v>81</v>
      </c>
      <c r="D30" s="13"/>
      <c r="E30" s="13"/>
      <c r="F30" s="14">
        <f t="shared" si="4"/>
        <v>0</v>
      </c>
      <c r="G30" s="13"/>
      <c r="H30" s="13"/>
      <c r="I30" s="14">
        <f t="shared" si="5"/>
        <v>0</v>
      </c>
    </row>
    <row r="31" spans="2:9" x14ac:dyDescent="0.25">
      <c r="B31" s="47" t="s">
        <v>82</v>
      </c>
      <c r="C31" s="40" t="s">
        <v>81</v>
      </c>
      <c r="D31" s="13"/>
      <c r="E31" s="13"/>
      <c r="F31" s="14">
        <f t="shared" si="4"/>
        <v>0</v>
      </c>
      <c r="G31" s="13"/>
      <c r="H31" s="13"/>
      <c r="I31" s="14">
        <f t="shared" si="5"/>
        <v>0</v>
      </c>
    </row>
    <row r="32" spans="2:9" s="20" customFormat="1" x14ac:dyDescent="0.25">
      <c r="B32" s="45" t="s">
        <v>83</v>
      </c>
      <c r="C32" s="43" t="s">
        <v>84</v>
      </c>
      <c r="D32" s="14">
        <f t="shared" ref="D32:I32" si="6">SUM(D18:D31)</f>
        <v>1100000</v>
      </c>
      <c r="E32" s="14">
        <f t="shared" si="6"/>
        <v>0</v>
      </c>
      <c r="F32" s="14">
        <f t="shared" si="6"/>
        <v>1100000</v>
      </c>
      <c r="G32" s="14">
        <f>SUM(G18:G31)</f>
        <v>1100000</v>
      </c>
      <c r="H32" s="14">
        <f>SUM(H18:H31)</f>
        <v>0</v>
      </c>
      <c r="I32" s="14">
        <f t="shared" si="6"/>
        <v>1100000</v>
      </c>
    </row>
    <row r="33" spans="2:9" x14ac:dyDescent="0.25">
      <c r="B33" s="48" t="s">
        <v>85</v>
      </c>
      <c r="C33" s="49" t="s">
        <v>86</v>
      </c>
      <c r="D33" s="50">
        <f t="shared" ref="D33:I33" si="7">+D32+D17+D16+D10+D9</f>
        <v>243969509</v>
      </c>
      <c r="E33" s="50">
        <f t="shared" si="7"/>
        <v>304542020</v>
      </c>
      <c r="F33" s="50">
        <f t="shared" si="7"/>
        <v>548511529</v>
      </c>
      <c r="G33" s="50">
        <f>+G32+G17+G16+G10+G9</f>
        <v>266367755</v>
      </c>
      <c r="H33" s="50">
        <f>+H32+H17+H16+H10+H9</f>
        <v>304542020</v>
      </c>
      <c r="I33" s="50">
        <f t="shared" si="7"/>
        <v>570909775</v>
      </c>
    </row>
    <row r="34" spans="2:9" x14ac:dyDescent="0.25">
      <c r="B34" s="51" t="s">
        <v>87</v>
      </c>
      <c r="C34" s="40" t="s">
        <v>88</v>
      </c>
      <c r="D34" s="13"/>
      <c r="E34" s="13"/>
      <c r="F34" s="14">
        <f t="shared" ref="F34:F40" si="8">+D34+E34</f>
        <v>0</v>
      </c>
      <c r="G34" s="13"/>
      <c r="H34" s="13"/>
      <c r="I34" s="14">
        <f t="shared" ref="I34:I40" si="9">+G34+H34</f>
        <v>0</v>
      </c>
    </row>
    <row r="35" spans="2:9" x14ac:dyDescent="0.25">
      <c r="B35" s="51" t="s">
        <v>89</v>
      </c>
      <c r="C35" s="40" t="s">
        <v>90</v>
      </c>
      <c r="D35" s="13"/>
      <c r="E35" s="13"/>
      <c r="F35" s="14">
        <f t="shared" si="8"/>
        <v>0</v>
      </c>
      <c r="G35" s="13"/>
      <c r="H35" s="13"/>
      <c r="I35" s="14">
        <f t="shared" si="9"/>
        <v>0</v>
      </c>
    </row>
    <row r="36" spans="2:9" x14ac:dyDescent="0.25">
      <c r="B36" s="51" t="s">
        <v>91</v>
      </c>
      <c r="C36" s="40" t="s">
        <v>92</v>
      </c>
      <c r="D36" s="13">
        <v>550000</v>
      </c>
      <c r="E36" s="13">
        <v>561000</v>
      </c>
      <c r="F36" s="14">
        <f t="shared" si="8"/>
        <v>1111000</v>
      </c>
      <c r="G36" s="13">
        <v>550000</v>
      </c>
      <c r="H36" s="13">
        <v>561000</v>
      </c>
      <c r="I36" s="14">
        <f t="shared" si="9"/>
        <v>1111000</v>
      </c>
    </row>
    <row r="37" spans="2:9" x14ac:dyDescent="0.25">
      <c r="B37" s="51" t="s">
        <v>93</v>
      </c>
      <c r="C37" s="40" t="s">
        <v>94</v>
      </c>
      <c r="D37" s="13">
        <v>4870000</v>
      </c>
      <c r="E37" s="13">
        <v>3735000</v>
      </c>
      <c r="F37" s="14">
        <f t="shared" si="8"/>
        <v>8605000</v>
      </c>
      <c r="G37" s="13">
        <v>4870000</v>
      </c>
      <c r="H37" s="13">
        <v>3735000</v>
      </c>
      <c r="I37" s="14">
        <f t="shared" si="9"/>
        <v>8605000</v>
      </c>
    </row>
    <row r="38" spans="2:9" x14ac:dyDescent="0.25">
      <c r="B38" s="52" t="s">
        <v>95</v>
      </c>
      <c r="C38" s="40" t="s">
        <v>96</v>
      </c>
      <c r="D38" s="13"/>
      <c r="E38" s="13"/>
      <c r="F38" s="14">
        <f t="shared" si="8"/>
        <v>0</v>
      </c>
      <c r="G38" s="13"/>
      <c r="H38" s="13"/>
      <c r="I38" s="14">
        <f t="shared" si="9"/>
        <v>0</v>
      </c>
    </row>
    <row r="39" spans="2:9" x14ac:dyDescent="0.25">
      <c r="B39" s="52" t="s">
        <v>97</v>
      </c>
      <c r="C39" s="40" t="s">
        <v>98</v>
      </c>
      <c r="D39" s="13"/>
      <c r="E39" s="13"/>
      <c r="F39" s="14">
        <f t="shared" si="8"/>
        <v>0</v>
      </c>
      <c r="G39" s="13"/>
      <c r="H39" s="13"/>
      <c r="I39" s="14">
        <f t="shared" si="9"/>
        <v>0</v>
      </c>
    </row>
    <row r="40" spans="2:9" x14ac:dyDescent="0.25">
      <c r="B40" s="52" t="s">
        <v>99</v>
      </c>
      <c r="C40" s="40" t="s">
        <v>100</v>
      </c>
      <c r="D40" s="13">
        <v>1315000</v>
      </c>
      <c r="E40" s="13">
        <v>1024000</v>
      </c>
      <c r="F40" s="14">
        <f t="shared" si="8"/>
        <v>2339000</v>
      </c>
      <c r="G40" s="13">
        <v>1315000</v>
      </c>
      <c r="H40" s="13">
        <v>1024000</v>
      </c>
      <c r="I40" s="14">
        <f t="shared" si="9"/>
        <v>2339000</v>
      </c>
    </row>
    <row r="41" spans="2:9" s="20" customFormat="1" x14ac:dyDescent="0.25">
      <c r="B41" s="53" t="s">
        <v>101</v>
      </c>
      <c r="C41" s="43" t="s">
        <v>102</v>
      </c>
      <c r="D41" s="14">
        <f t="shared" ref="D41:I41" si="10">SUM(D34:D40)</f>
        <v>6735000</v>
      </c>
      <c r="E41" s="14">
        <f t="shared" si="10"/>
        <v>5320000</v>
      </c>
      <c r="F41" s="14">
        <f t="shared" si="10"/>
        <v>12055000</v>
      </c>
      <c r="G41" s="14">
        <f>SUM(G34:G40)</f>
        <v>6735000</v>
      </c>
      <c r="H41" s="14">
        <f>SUM(H34:H40)</f>
        <v>5320000</v>
      </c>
      <c r="I41" s="14">
        <f t="shared" si="10"/>
        <v>12055000</v>
      </c>
    </row>
    <row r="42" spans="2:9" x14ac:dyDescent="0.25">
      <c r="B42" s="54" t="s">
        <v>103</v>
      </c>
      <c r="C42" s="40" t="s">
        <v>104</v>
      </c>
      <c r="D42" s="13">
        <v>550000</v>
      </c>
      <c r="E42" s="13">
        <v>4250000</v>
      </c>
      <c r="F42" s="14">
        <f>+D42+E42</f>
        <v>4800000</v>
      </c>
      <c r="G42" s="13">
        <v>2300000</v>
      </c>
      <c r="H42" s="13">
        <v>2500000</v>
      </c>
      <c r="I42" s="14">
        <f>+G42+H42</f>
        <v>4800000</v>
      </c>
    </row>
    <row r="43" spans="2:9" x14ac:dyDescent="0.25">
      <c r="B43" s="54" t="s">
        <v>105</v>
      </c>
      <c r="C43" s="40" t="s">
        <v>106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4" t="s">
        <v>107</v>
      </c>
      <c r="C44" s="40" t="s">
        <v>108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4" t="s">
        <v>109</v>
      </c>
      <c r="C45" s="40" t="s">
        <v>110</v>
      </c>
      <c r="D45" s="13">
        <v>148000</v>
      </c>
      <c r="E45" s="13">
        <v>1147500</v>
      </c>
      <c r="F45" s="14">
        <f>+D45+E45</f>
        <v>1295500</v>
      </c>
      <c r="G45" s="13">
        <v>148000</v>
      </c>
      <c r="H45" s="13">
        <v>1147500</v>
      </c>
      <c r="I45" s="14">
        <f>+G45+H45</f>
        <v>1295500</v>
      </c>
    </row>
    <row r="46" spans="2:9" s="20" customFormat="1" x14ac:dyDescent="0.25">
      <c r="B46" s="44" t="s">
        <v>111</v>
      </c>
      <c r="C46" s="43" t="s">
        <v>112</v>
      </c>
      <c r="D46" s="14">
        <f t="shared" ref="D46:I46" si="11">SUM(D42:D45)</f>
        <v>698000</v>
      </c>
      <c r="E46" s="14">
        <f t="shared" si="11"/>
        <v>5397500</v>
      </c>
      <c r="F46" s="14">
        <f t="shared" si="11"/>
        <v>6095500</v>
      </c>
      <c r="G46" s="14">
        <f>SUM(G42:G45)</f>
        <v>2448000</v>
      </c>
      <c r="H46" s="14">
        <f>SUM(H42:H45)</f>
        <v>3647500</v>
      </c>
      <c r="I46" s="14">
        <f t="shared" si="11"/>
        <v>6095500</v>
      </c>
    </row>
    <row r="47" spans="2:9" hidden="1" x14ac:dyDescent="0.25">
      <c r="B47" s="54" t="s">
        <v>589</v>
      </c>
      <c r="C47" s="40" t="s">
        <v>114</v>
      </c>
      <c r="D47" s="13"/>
      <c r="E47" s="13"/>
      <c r="F47" s="14">
        <f t="shared" ref="F47:F55" si="12">+D47+E47</f>
        <v>0</v>
      </c>
      <c r="G47" s="13"/>
      <c r="H47" s="13"/>
      <c r="I47" s="14">
        <f t="shared" ref="I47:I55" si="13">+G47+H47</f>
        <v>0</v>
      </c>
    </row>
    <row r="48" spans="2:9" ht="31.5" hidden="1" x14ac:dyDescent="0.25">
      <c r="B48" s="54" t="s">
        <v>590</v>
      </c>
      <c r="C48" s="40" t="s">
        <v>116</v>
      </c>
      <c r="D48" s="13"/>
      <c r="E48" s="13"/>
      <c r="F48" s="14">
        <f t="shared" si="12"/>
        <v>0</v>
      </c>
      <c r="G48" s="13"/>
      <c r="H48" s="13"/>
      <c r="I48" s="14">
        <f t="shared" si="13"/>
        <v>0</v>
      </c>
    </row>
    <row r="49" spans="2:10" hidden="1" x14ac:dyDescent="0.25">
      <c r="B49" s="54" t="s">
        <v>117</v>
      </c>
      <c r="C49" s="40" t="s">
        <v>118</v>
      </c>
      <c r="D49" s="13"/>
      <c r="E49" s="13"/>
      <c r="F49" s="14">
        <f t="shared" si="12"/>
        <v>0</v>
      </c>
      <c r="G49" s="13"/>
      <c r="H49" s="13"/>
      <c r="I49" s="14">
        <f t="shared" si="13"/>
        <v>0</v>
      </c>
    </row>
    <row r="50" spans="2:10" hidden="1" x14ac:dyDescent="0.25">
      <c r="B50" s="54" t="s">
        <v>119</v>
      </c>
      <c r="C50" s="40" t="s">
        <v>120</v>
      </c>
      <c r="D50" s="13"/>
      <c r="E50" s="13"/>
      <c r="F50" s="14">
        <f t="shared" si="12"/>
        <v>0</v>
      </c>
      <c r="G50" s="13"/>
      <c r="H50" s="13"/>
      <c r="I50" s="14">
        <f t="shared" si="13"/>
        <v>0</v>
      </c>
    </row>
    <row r="51" spans="2:10" x14ac:dyDescent="0.25">
      <c r="B51" s="54" t="s">
        <v>121</v>
      </c>
      <c r="C51" s="40" t="s">
        <v>122</v>
      </c>
      <c r="D51" s="13">
        <v>13101000</v>
      </c>
      <c r="E51" s="13"/>
      <c r="F51" s="14">
        <f t="shared" si="12"/>
        <v>13101000</v>
      </c>
      <c r="G51" s="13">
        <v>13101000</v>
      </c>
      <c r="H51" s="13"/>
      <c r="I51" s="14">
        <f t="shared" si="13"/>
        <v>13101000</v>
      </c>
    </row>
    <row r="52" spans="2:10" hidden="1" x14ac:dyDescent="0.25">
      <c r="B52" s="54" t="s">
        <v>123</v>
      </c>
      <c r="C52" s="40" t="s">
        <v>124</v>
      </c>
      <c r="D52" s="13"/>
      <c r="E52" s="13"/>
      <c r="F52" s="14">
        <f t="shared" si="12"/>
        <v>0</v>
      </c>
      <c r="G52" s="13"/>
      <c r="H52" s="13"/>
      <c r="I52" s="14">
        <f t="shared" si="13"/>
        <v>0</v>
      </c>
    </row>
    <row r="53" spans="2:10" hidden="1" x14ac:dyDescent="0.25">
      <c r="B53" s="54" t="s">
        <v>125</v>
      </c>
      <c r="C53" s="40" t="s">
        <v>126</v>
      </c>
      <c r="D53" s="13"/>
      <c r="E53" s="13"/>
      <c r="F53" s="14">
        <f t="shared" si="12"/>
        <v>0</v>
      </c>
      <c r="G53" s="13"/>
      <c r="H53" s="13"/>
      <c r="I53" s="14">
        <f t="shared" si="13"/>
        <v>0</v>
      </c>
    </row>
    <row r="54" spans="2:10" hidden="1" x14ac:dyDescent="0.25">
      <c r="B54" s="47" t="s">
        <v>591</v>
      </c>
      <c r="C54" s="40" t="s">
        <v>128</v>
      </c>
      <c r="D54" s="13"/>
      <c r="E54" s="13"/>
      <c r="F54" s="14">
        <f t="shared" si="12"/>
        <v>0</v>
      </c>
      <c r="G54" s="13"/>
      <c r="H54" s="13"/>
      <c r="I54" s="14">
        <f t="shared" si="13"/>
        <v>0</v>
      </c>
    </row>
    <row r="55" spans="2:10" hidden="1" x14ac:dyDescent="0.25">
      <c r="B55" s="54" t="s">
        <v>129</v>
      </c>
      <c r="C55" s="40" t="s">
        <v>130</v>
      </c>
      <c r="D55" s="13"/>
      <c r="E55" s="13"/>
      <c r="F55" s="14">
        <f t="shared" si="12"/>
        <v>0</v>
      </c>
      <c r="G55" s="13"/>
      <c r="H55" s="13"/>
      <c r="I55" s="14">
        <f t="shared" si="13"/>
        <v>0</v>
      </c>
    </row>
    <row r="56" spans="2:10" s="20" customFormat="1" x14ac:dyDescent="0.25">
      <c r="B56" s="45" t="s">
        <v>131</v>
      </c>
      <c r="C56" s="43" t="s">
        <v>132</v>
      </c>
      <c r="D56" s="14">
        <f t="shared" ref="D56:I56" si="14">SUM(D47:D55)</f>
        <v>13101000</v>
      </c>
      <c r="E56" s="14">
        <f t="shared" si="14"/>
        <v>0</v>
      </c>
      <c r="F56" s="14">
        <f t="shared" si="14"/>
        <v>13101000</v>
      </c>
      <c r="G56" s="14">
        <f t="shared" si="14"/>
        <v>13101000</v>
      </c>
      <c r="H56" s="14">
        <f t="shared" si="14"/>
        <v>0</v>
      </c>
      <c r="I56" s="14">
        <f t="shared" si="14"/>
        <v>13101000</v>
      </c>
    </row>
    <row r="57" spans="2:10" x14ac:dyDescent="0.25">
      <c r="B57" s="48" t="s">
        <v>133</v>
      </c>
      <c r="C57" s="49" t="s">
        <v>134</v>
      </c>
      <c r="D57" s="50">
        <f t="shared" ref="D57:I57" si="15">+D56+D46+D41</f>
        <v>20534000</v>
      </c>
      <c r="E57" s="50">
        <f t="shared" si="15"/>
        <v>10717500</v>
      </c>
      <c r="F57" s="50">
        <f t="shared" si="15"/>
        <v>31251500</v>
      </c>
      <c r="G57" s="50">
        <f t="shared" si="15"/>
        <v>22284000</v>
      </c>
      <c r="H57" s="50">
        <f t="shared" si="15"/>
        <v>8967500</v>
      </c>
      <c r="I57" s="50">
        <f t="shared" si="15"/>
        <v>31251500</v>
      </c>
    </row>
    <row r="58" spans="2:10" x14ac:dyDescent="0.25">
      <c r="B58" s="55" t="s">
        <v>135</v>
      </c>
      <c r="C58" s="56" t="s">
        <v>136</v>
      </c>
      <c r="D58" s="57">
        <f t="shared" ref="D58:I58" si="16">+D56+D46+D41+D32+D17+D16+D10+D9</f>
        <v>264503509</v>
      </c>
      <c r="E58" s="57">
        <f t="shared" si="16"/>
        <v>315259520</v>
      </c>
      <c r="F58" s="57">
        <f t="shared" si="16"/>
        <v>579763029</v>
      </c>
      <c r="G58" s="57">
        <f t="shared" si="16"/>
        <v>288651755</v>
      </c>
      <c r="H58" s="57">
        <f t="shared" si="16"/>
        <v>313509520</v>
      </c>
      <c r="I58" s="57">
        <f t="shared" si="16"/>
        <v>602161275</v>
      </c>
    </row>
    <row r="59" spans="2:10" hidden="1" x14ac:dyDescent="0.25">
      <c r="B59" s="59" t="s">
        <v>572</v>
      </c>
      <c r="C59" s="41" t="s">
        <v>162</v>
      </c>
      <c r="D59" s="181"/>
      <c r="E59" s="181"/>
      <c r="F59" s="13">
        <f>+D59+E59</f>
        <v>0</v>
      </c>
      <c r="G59" s="181"/>
      <c r="H59" s="181"/>
      <c r="I59" s="13">
        <f>+G59+H59</f>
        <v>0</v>
      </c>
      <c r="J59" s="182"/>
    </row>
    <row r="60" spans="2:10" hidden="1" x14ac:dyDescent="0.25">
      <c r="B60" s="59" t="s">
        <v>163</v>
      </c>
      <c r="C60" s="41" t="s">
        <v>164</v>
      </c>
      <c r="D60" s="181"/>
      <c r="E60" s="181"/>
      <c r="F60" s="13">
        <f>+D60+E60</f>
        <v>0</v>
      </c>
      <c r="G60" s="181"/>
      <c r="H60" s="181"/>
      <c r="I60" s="13">
        <f>+G60+H60</f>
        <v>0</v>
      </c>
      <c r="J60" s="182"/>
    </row>
    <row r="61" spans="2:10" hidden="1" x14ac:dyDescent="0.25">
      <c r="B61" s="54" t="s">
        <v>165</v>
      </c>
      <c r="C61" s="41" t="s">
        <v>166</v>
      </c>
      <c r="D61" s="181"/>
      <c r="E61" s="181"/>
      <c r="F61" s="13">
        <f>+D61+E61</f>
        <v>0</v>
      </c>
      <c r="G61" s="181"/>
      <c r="H61" s="181"/>
      <c r="I61" s="13">
        <f>+G61+H61</f>
        <v>0</v>
      </c>
      <c r="J61" s="183"/>
    </row>
    <row r="62" spans="2:10" hidden="1" x14ac:dyDescent="0.25">
      <c r="B62" s="54" t="s">
        <v>167</v>
      </c>
      <c r="C62" s="41" t="s">
        <v>168</v>
      </c>
      <c r="D62" s="181"/>
      <c r="E62" s="181"/>
      <c r="F62" s="13">
        <f>+D62+E62</f>
        <v>0</v>
      </c>
      <c r="G62" s="181"/>
      <c r="H62" s="181"/>
      <c r="I62" s="13">
        <f>+G62+H62</f>
        <v>0</v>
      </c>
      <c r="J62" s="183"/>
    </row>
    <row r="63" spans="2:10" x14ac:dyDescent="0.25">
      <c r="B63" s="62" t="s">
        <v>169</v>
      </c>
      <c r="C63" s="63" t="s">
        <v>170</v>
      </c>
      <c r="D63" s="64">
        <f t="shared" ref="D63:I63" si="17">+D61+D60+D59+D62</f>
        <v>0</v>
      </c>
      <c r="E63" s="64">
        <f t="shared" si="17"/>
        <v>0</v>
      </c>
      <c r="F63" s="64">
        <f t="shared" si="17"/>
        <v>0</v>
      </c>
      <c r="G63" s="64">
        <f t="shared" si="17"/>
        <v>0</v>
      </c>
      <c r="H63" s="64">
        <f t="shared" si="17"/>
        <v>0</v>
      </c>
      <c r="I63" s="64">
        <f t="shared" si="17"/>
        <v>0</v>
      </c>
      <c r="J63" s="184"/>
    </row>
    <row r="64" spans="2:10" x14ac:dyDescent="0.25">
      <c r="B64" s="17" t="s">
        <v>171</v>
      </c>
      <c r="C64" s="17" t="s">
        <v>172</v>
      </c>
      <c r="D64" s="18">
        <f t="shared" ref="D64:I64" si="18">+D58+D63</f>
        <v>264503509</v>
      </c>
      <c r="E64" s="18">
        <f t="shared" si="18"/>
        <v>315259520</v>
      </c>
      <c r="F64" s="18">
        <f t="shared" si="18"/>
        <v>579763029</v>
      </c>
      <c r="G64" s="18">
        <f t="shared" si="18"/>
        <v>288651755</v>
      </c>
      <c r="H64" s="18">
        <f t="shared" si="18"/>
        <v>313509520</v>
      </c>
      <c r="I64" s="18">
        <f t="shared" si="18"/>
        <v>602161275</v>
      </c>
    </row>
    <row r="65" spans="2:9" x14ac:dyDescent="0.25">
      <c r="B65" s="2"/>
      <c r="C65" s="2"/>
      <c r="D65" s="3"/>
      <c r="E65" s="3"/>
      <c r="F65" s="65"/>
      <c r="G65" s="3"/>
      <c r="H65" s="3"/>
      <c r="I65" s="65"/>
    </row>
    <row r="66" spans="2:9" ht="15.75" hidden="1" customHeight="1" x14ac:dyDescent="0.25">
      <c r="B66" s="2"/>
      <c r="C66" s="2"/>
      <c r="D66" s="583" t="s">
        <v>7</v>
      </c>
      <c r="E66" s="583"/>
      <c r="F66" s="583"/>
      <c r="G66" s="583" t="s">
        <v>7</v>
      </c>
      <c r="H66" s="583"/>
      <c r="I66" s="583"/>
    </row>
    <row r="67" spans="2:9" ht="31.5" x14ac:dyDescent="0.25">
      <c r="B67" s="8" t="s">
        <v>8</v>
      </c>
      <c r="C67" s="35" t="s">
        <v>173</v>
      </c>
      <c r="D67" s="36" t="s">
        <v>9</v>
      </c>
      <c r="E67" s="36" t="s">
        <v>10</v>
      </c>
      <c r="F67" s="35" t="s">
        <v>515</v>
      </c>
      <c r="G67" s="36" t="s">
        <v>9</v>
      </c>
      <c r="H67" s="36" t="s">
        <v>10</v>
      </c>
      <c r="I67" s="35" t="s">
        <v>515</v>
      </c>
    </row>
    <row r="68" spans="2:9" hidden="1" x14ac:dyDescent="0.25">
      <c r="B68" s="44" t="s">
        <v>573</v>
      </c>
      <c r="C68" s="53" t="s">
        <v>187</v>
      </c>
      <c r="D68" s="14"/>
      <c r="E68" s="14"/>
      <c r="F68" s="14">
        <f t="shared" ref="F68:F73" si="19">+E68+D68</f>
        <v>0</v>
      </c>
      <c r="G68" s="14"/>
      <c r="H68" s="14"/>
      <c r="I68" s="14">
        <f t="shared" ref="I68:I73" si="20">+H68+G68</f>
        <v>0</v>
      </c>
    </row>
    <row r="69" spans="2:9" hidden="1" x14ac:dyDescent="0.25">
      <c r="B69" s="41" t="s">
        <v>188</v>
      </c>
      <c r="C69" s="52" t="s">
        <v>189</v>
      </c>
      <c r="D69" s="14"/>
      <c r="E69" s="14"/>
      <c r="F69" s="14">
        <f t="shared" si="19"/>
        <v>0</v>
      </c>
      <c r="G69" s="14"/>
      <c r="H69" s="14"/>
      <c r="I69" s="14">
        <f t="shared" si="20"/>
        <v>0</v>
      </c>
    </row>
    <row r="70" spans="2:9" ht="31.5" hidden="1" x14ac:dyDescent="0.25">
      <c r="B70" s="41" t="s">
        <v>574</v>
      </c>
      <c r="C70" s="52" t="s">
        <v>191</v>
      </c>
      <c r="D70" s="14"/>
      <c r="E70" s="14"/>
      <c r="F70" s="14">
        <f t="shared" si="19"/>
        <v>0</v>
      </c>
      <c r="G70" s="14"/>
      <c r="H70" s="14"/>
      <c r="I70" s="14">
        <f t="shared" si="20"/>
        <v>0</v>
      </c>
    </row>
    <row r="71" spans="2:9" ht="31.5" hidden="1" x14ac:dyDescent="0.25">
      <c r="B71" s="41" t="s">
        <v>192</v>
      </c>
      <c r="C71" s="52" t="s">
        <v>193</v>
      </c>
      <c r="D71" s="14"/>
      <c r="E71" s="14"/>
      <c r="F71" s="14">
        <f t="shared" si="19"/>
        <v>0</v>
      </c>
      <c r="G71" s="14"/>
      <c r="H71" s="14"/>
      <c r="I71" s="14">
        <f t="shared" si="20"/>
        <v>0</v>
      </c>
    </row>
    <row r="72" spans="2:9" ht="31.5" hidden="1" x14ac:dyDescent="0.25">
      <c r="B72" s="41" t="s">
        <v>194</v>
      </c>
      <c r="C72" s="52" t="s">
        <v>195</v>
      </c>
      <c r="D72" s="14"/>
      <c r="E72" s="14"/>
      <c r="F72" s="14">
        <f t="shared" si="19"/>
        <v>0</v>
      </c>
      <c r="G72" s="14"/>
      <c r="H72" s="14"/>
      <c r="I72" s="14">
        <f t="shared" si="20"/>
        <v>0</v>
      </c>
    </row>
    <row r="73" spans="2:9" x14ac:dyDescent="0.25">
      <c r="B73" s="41" t="s">
        <v>196</v>
      </c>
      <c r="C73" s="52" t="s">
        <v>197</v>
      </c>
      <c r="D73" s="398">
        <v>32044684</v>
      </c>
      <c r="E73" s="398">
        <v>84110608</v>
      </c>
      <c r="F73" s="14">
        <f t="shared" si="19"/>
        <v>116155292</v>
      </c>
      <c r="G73" s="398">
        <v>32044684</v>
      </c>
      <c r="H73" s="398">
        <v>84110608</v>
      </c>
      <c r="I73" s="14">
        <f t="shared" si="20"/>
        <v>116155292</v>
      </c>
    </row>
    <row r="74" spans="2:9" x14ac:dyDescent="0.25">
      <c r="B74" s="44" t="s">
        <v>198</v>
      </c>
      <c r="C74" s="53" t="s">
        <v>199</v>
      </c>
      <c r="D74" s="14">
        <f t="shared" ref="D74:I74" si="21">+D73+D72+D71+D70+D69+D68</f>
        <v>32044684</v>
      </c>
      <c r="E74" s="14">
        <f t="shared" si="21"/>
        <v>84110608</v>
      </c>
      <c r="F74" s="14">
        <f t="shared" si="21"/>
        <v>116155292</v>
      </c>
      <c r="G74" s="14">
        <f>+G73+G72+G71+G70+G69+G68</f>
        <v>32044684</v>
      </c>
      <c r="H74" s="14">
        <f>+H73+H72+H71+H70+H69+H68</f>
        <v>84110608</v>
      </c>
      <c r="I74" s="14">
        <f t="shared" si="21"/>
        <v>116155292</v>
      </c>
    </row>
    <row r="75" spans="2:9" x14ac:dyDescent="0.25">
      <c r="B75" s="44" t="s">
        <v>200</v>
      </c>
      <c r="C75" s="53" t="s">
        <v>201</v>
      </c>
      <c r="D75" s="13"/>
      <c r="E75" s="13"/>
      <c r="F75" s="14">
        <f t="shared" ref="F75:F81" si="22">+E75+D75</f>
        <v>0</v>
      </c>
      <c r="G75" s="13"/>
      <c r="H75" s="13"/>
      <c r="I75" s="14">
        <f t="shared" ref="I75:I81" si="23">+H75+G75</f>
        <v>0</v>
      </c>
    </row>
    <row r="76" spans="2:9" hidden="1" x14ac:dyDescent="0.25">
      <c r="B76" s="41" t="s">
        <v>202</v>
      </c>
      <c r="C76" s="52" t="s">
        <v>203</v>
      </c>
      <c r="D76" s="13"/>
      <c r="E76" s="13"/>
      <c r="F76" s="14">
        <f t="shared" si="22"/>
        <v>0</v>
      </c>
      <c r="G76" s="13"/>
      <c r="H76" s="13"/>
      <c r="I76" s="14">
        <f t="shared" si="23"/>
        <v>0</v>
      </c>
    </row>
    <row r="77" spans="2:9" hidden="1" x14ac:dyDescent="0.25">
      <c r="B77" s="41" t="s">
        <v>204</v>
      </c>
      <c r="C77" s="52" t="s">
        <v>205</v>
      </c>
      <c r="D77" s="13"/>
      <c r="E77" s="13"/>
      <c r="F77" s="14">
        <f t="shared" si="22"/>
        <v>0</v>
      </c>
      <c r="G77" s="13"/>
      <c r="H77" s="13"/>
      <c r="I77" s="14">
        <f t="shared" si="23"/>
        <v>0</v>
      </c>
    </row>
    <row r="78" spans="2:9" hidden="1" x14ac:dyDescent="0.25">
      <c r="B78" s="41" t="s">
        <v>206</v>
      </c>
      <c r="C78" s="52" t="s">
        <v>207</v>
      </c>
      <c r="D78" s="13"/>
      <c r="E78" s="13"/>
      <c r="F78" s="14">
        <f t="shared" si="22"/>
        <v>0</v>
      </c>
      <c r="G78" s="13"/>
      <c r="H78" s="13"/>
      <c r="I78" s="14">
        <f t="shared" si="23"/>
        <v>0</v>
      </c>
    </row>
    <row r="79" spans="2:9" hidden="1" x14ac:dyDescent="0.25">
      <c r="B79" s="41" t="s">
        <v>208</v>
      </c>
      <c r="C79" s="52" t="s">
        <v>209</v>
      </c>
      <c r="D79" s="13"/>
      <c r="E79" s="13"/>
      <c r="F79" s="14">
        <f t="shared" si="22"/>
        <v>0</v>
      </c>
      <c r="G79" s="13"/>
      <c r="H79" s="13"/>
      <c r="I79" s="14">
        <f t="shared" si="23"/>
        <v>0</v>
      </c>
    </row>
    <row r="80" spans="2:9" hidden="1" x14ac:dyDescent="0.25">
      <c r="B80" s="41" t="s">
        <v>210</v>
      </c>
      <c r="C80" s="52" t="s">
        <v>211</v>
      </c>
      <c r="D80" s="13"/>
      <c r="E80" s="13"/>
      <c r="F80" s="14">
        <f t="shared" si="22"/>
        <v>0</v>
      </c>
      <c r="G80" s="13"/>
      <c r="H80" s="13"/>
      <c r="I80" s="14">
        <f t="shared" si="23"/>
        <v>0</v>
      </c>
    </row>
    <row r="81" spans="2:9" hidden="1" x14ac:dyDescent="0.25">
      <c r="B81" s="41" t="s">
        <v>212</v>
      </c>
      <c r="C81" s="52" t="s">
        <v>213</v>
      </c>
      <c r="D81" s="13"/>
      <c r="E81" s="13"/>
      <c r="F81" s="14">
        <f t="shared" si="22"/>
        <v>0</v>
      </c>
      <c r="G81" s="13"/>
      <c r="H81" s="13"/>
      <c r="I81" s="14">
        <f t="shared" si="23"/>
        <v>0</v>
      </c>
    </row>
    <row r="82" spans="2:9" x14ac:dyDescent="0.25">
      <c r="B82" s="44" t="s">
        <v>214</v>
      </c>
      <c r="C82" s="53" t="s">
        <v>215</v>
      </c>
      <c r="D82" s="14">
        <f t="shared" ref="D82:I82" si="24">SUM(D76:D81)</f>
        <v>0</v>
      </c>
      <c r="E82" s="14">
        <f t="shared" si="24"/>
        <v>0</v>
      </c>
      <c r="F82" s="14">
        <f t="shared" si="24"/>
        <v>0</v>
      </c>
      <c r="G82" s="14">
        <f>SUM(G76:G81)</f>
        <v>0</v>
      </c>
      <c r="H82" s="14">
        <f>SUM(H76:H81)</f>
        <v>0</v>
      </c>
      <c r="I82" s="14">
        <f t="shared" si="24"/>
        <v>0</v>
      </c>
    </row>
    <row r="83" spans="2:9" x14ac:dyDescent="0.25">
      <c r="B83" s="54" t="s">
        <v>577</v>
      </c>
      <c r="C83" s="52" t="s">
        <v>217</v>
      </c>
      <c r="D83" s="13">
        <v>473000</v>
      </c>
      <c r="E83" s="13">
        <v>411000</v>
      </c>
      <c r="F83" s="14">
        <f t="shared" ref="F83:F93" si="25">+E83+D83</f>
        <v>884000</v>
      </c>
      <c r="G83" s="13">
        <v>473000</v>
      </c>
      <c r="H83" s="13">
        <v>411000</v>
      </c>
      <c r="I83" s="14">
        <f t="shared" ref="I83:I93" si="26">+H83+G83</f>
        <v>884000</v>
      </c>
    </row>
    <row r="84" spans="2:9" x14ac:dyDescent="0.25">
      <c r="B84" s="54" t="s">
        <v>218</v>
      </c>
      <c r="C84" s="52" t="s">
        <v>219</v>
      </c>
      <c r="D84" s="13">
        <v>35797500</v>
      </c>
      <c r="E84" s="13">
        <v>187891100</v>
      </c>
      <c r="F84" s="14">
        <f t="shared" si="25"/>
        <v>223688600</v>
      </c>
      <c r="G84" s="13">
        <v>35797500</v>
      </c>
      <c r="H84" s="13">
        <v>187891100</v>
      </c>
      <c r="I84" s="14">
        <f t="shared" si="26"/>
        <v>223688600</v>
      </c>
    </row>
    <row r="85" spans="2:9" x14ac:dyDescent="0.25">
      <c r="B85" s="54" t="s">
        <v>220</v>
      </c>
      <c r="C85" s="52" t="s">
        <v>221</v>
      </c>
      <c r="D85" s="13"/>
      <c r="E85" s="13">
        <v>121000</v>
      </c>
      <c r="F85" s="14">
        <f t="shared" si="25"/>
        <v>121000</v>
      </c>
      <c r="G85" s="13"/>
      <c r="H85" s="13">
        <v>121000</v>
      </c>
      <c r="I85" s="14">
        <f t="shared" si="26"/>
        <v>121000</v>
      </c>
    </row>
    <row r="86" spans="2:9" x14ac:dyDescent="0.25">
      <c r="B86" s="54" t="s">
        <v>222</v>
      </c>
      <c r="C86" s="52" t="s">
        <v>223</v>
      </c>
      <c r="D86" s="13"/>
      <c r="E86" s="13"/>
      <c r="F86" s="14">
        <f t="shared" si="25"/>
        <v>0</v>
      </c>
      <c r="G86" s="13"/>
      <c r="H86" s="13"/>
      <c r="I86" s="14">
        <f t="shared" si="26"/>
        <v>0</v>
      </c>
    </row>
    <row r="87" spans="2:9" x14ac:dyDescent="0.25">
      <c r="B87" s="54" t="s">
        <v>224</v>
      </c>
      <c r="C87" s="52" t="s">
        <v>225</v>
      </c>
      <c r="D87" s="13"/>
      <c r="E87" s="13"/>
      <c r="F87" s="14">
        <f t="shared" si="25"/>
        <v>0</v>
      </c>
      <c r="G87" s="13"/>
      <c r="H87" s="13"/>
      <c r="I87" s="14">
        <f t="shared" si="26"/>
        <v>0</v>
      </c>
    </row>
    <row r="88" spans="2:9" x14ac:dyDescent="0.25">
      <c r="B88" s="54" t="s">
        <v>226</v>
      </c>
      <c r="C88" s="52" t="s">
        <v>227</v>
      </c>
      <c r="D88" s="13">
        <v>128000</v>
      </c>
      <c r="E88" s="13">
        <v>29197764</v>
      </c>
      <c r="F88" s="14">
        <f t="shared" si="25"/>
        <v>29325764</v>
      </c>
      <c r="G88" s="13">
        <v>128000</v>
      </c>
      <c r="H88" s="13">
        <v>29197764</v>
      </c>
      <c r="I88" s="14">
        <f t="shared" si="26"/>
        <v>29325764</v>
      </c>
    </row>
    <row r="89" spans="2:9" x14ac:dyDescent="0.25">
      <c r="B89" s="54" t="s">
        <v>228</v>
      </c>
      <c r="C89" s="52" t="s">
        <v>229</v>
      </c>
      <c r="D89" s="13"/>
      <c r="E89" s="13"/>
      <c r="F89" s="14">
        <f t="shared" si="25"/>
        <v>0</v>
      </c>
      <c r="G89" s="13"/>
      <c r="H89" s="13"/>
      <c r="I89" s="14">
        <f t="shared" si="26"/>
        <v>0</v>
      </c>
    </row>
    <row r="90" spans="2:9" x14ac:dyDescent="0.25">
      <c r="B90" s="54" t="s">
        <v>230</v>
      </c>
      <c r="C90" s="52" t="s">
        <v>231</v>
      </c>
      <c r="D90" s="13"/>
      <c r="E90" s="13"/>
      <c r="F90" s="14">
        <f t="shared" si="25"/>
        <v>0</v>
      </c>
      <c r="G90" s="13"/>
      <c r="H90" s="13"/>
      <c r="I90" s="14">
        <f t="shared" si="26"/>
        <v>0</v>
      </c>
    </row>
    <row r="91" spans="2:9" x14ac:dyDescent="0.25">
      <c r="B91" s="54" t="s">
        <v>232</v>
      </c>
      <c r="C91" s="52" t="s">
        <v>233</v>
      </c>
      <c r="D91" s="13"/>
      <c r="E91" s="13">
        <v>10000</v>
      </c>
      <c r="F91" s="14">
        <f t="shared" si="25"/>
        <v>10000</v>
      </c>
      <c r="G91" s="13"/>
      <c r="H91" s="13">
        <v>10000</v>
      </c>
      <c r="I91" s="14">
        <f t="shared" si="26"/>
        <v>10000</v>
      </c>
    </row>
    <row r="92" spans="2:9" x14ac:dyDescent="0.25">
      <c r="B92" s="54" t="s">
        <v>234</v>
      </c>
      <c r="C92" s="52" t="s">
        <v>235</v>
      </c>
      <c r="D92" s="13"/>
      <c r="E92" s="13"/>
      <c r="F92" s="14">
        <f t="shared" si="25"/>
        <v>0</v>
      </c>
      <c r="G92" s="13"/>
      <c r="H92" s="13"/>
      <c r="I92" s="14">
        <f t="shared" si="26"/>
        <v>0</v>
      </c>
    </row>
    <row r="93" spans="2:9" x14ac:dyDescent="0.25">
      <c r="B93" s="54" t="s">
        <v>236</v>
      </c>
      <c r="C93" s="52" t="s">
        <v>237</v>
      </c>
      <c r="D93" s="13"/>
      <c r="E93" s="13"/>
      <c r="F93" s="14">
        <f t="shared" si="25"/>
        <v>0</v>
      </c>
      <c r="G93" s="13"/>
      <c r="H93" s="13"/>
      <c r="I93" s="14">
        <f t="shared" si="26"/>
        <v>0</v>
      </c>
    </row>
    <row r="94" spans="2:9" x14ac:dyDescent="0.25">
      <c r="B94" s="45" t="s">
        <v>238</v>
      </c>
      <c r="C94" s="53" t="s">
        <v>239</v>
      </c>
      <c r="D94" s="14">
        <f t="shared" ref="D94:I94" si="27">SUM(D83:D93)</f>
        <v>36398500</v>
      </c>
      <c r="E94" s="14">
        <f t="shared" si="27"/>
        <v>217630864</v>
      </c>
      <c r="F94" s="14">
        <f t="shared" si="27"/>
        <v>254029364</v>
      </c>
      <c r="G94" s="14">
        <f>SUM(G83:G93)</f>
        <v>36398500</v>
      </c>
      <c r="H94" s="14">
        <f>SUM(H83:H93)</f>
        <v>217630864</v>
      </c>
      <c r="I94" s="14">
        <f t="shared" si="27"/>
        <v>254029364</v>
      </c>
    </row>
    <row r="95" spans="2:9" x14ac:dyDescent="0.25">
      <c r="B95" s="54" t="s">
        <v>240</v>
      </c>
      <c r="C95" s="52" t="s">
        <v>241</v>
      </c>
      <c r="D95" s="13"/>
      <c r="E95" s="13"/>
      <c r="F95" s="14">
        <f>+E95+D95</f>
        <v>0</v>
      </c>
      <c r="G95" s="13"/>
      <c r="H95" s="13"/>
      <c r="I95" s="14">
        <f>+H95+G95</f>
        <v>0</v>
      </c>
    </row>
    <row r="96" spans="2:9" x14ac:dyDescent="0.25">
      <c r="B96" s="54" t="s">
        <v>242</v>
      </c>
      <c r="C96" s="52" t="s">
        <v>243</v>
      </c>
      <c r="D96" s="13"/>
      <c r="E96" s="13"/>
      <c r="F96" s="14">
        <f>+E96+D96</f>
        <v>0</v>
      </c>
      <c r="G96" s="13"/>
      <c r="H96" s="13"/>
      <c r="I96" s="14">
        <f>+H96+G96</f>
        <v>0</v>
      </c>
    </row>
    <row r="97" spans="2:9" x14ac:dyDescent="0.25">
      <c r="B97" s="54" t="s">
        <v>244</v>
      </c>
      <c r="C97" s="52" t="s">
        <v>245</v>
      </c>
      <c r="D97" s="13"/>
      <c r="E97" s="13"/>
      <c r="F97" s="14">
        <f>+E97+D97</f>
        <v>0</v>
      </c>
      <c r="G97" s="13"/>
      <c r="H97" s="13"/>
      <c r="I97" s="14">
        <f>+H97+G97</f>
        <v>0</v>
      </c>
    </row>
    <row r="98" spans="2:9" hidden="1" x14ac:dyDescent="0.25">
      <c r="B98" s="54" t="s">
        <v>246</v>
      </c>
      <c r="C98" s="52" t="s">
        <v>247</v>
      </c>
      <c r="D98" s="13"/>
      <c r="E98" s="13"/>
      <c r="F98" s="14">
        <f>+E98+D98</f>
        <v>0</v>
      </c>
      <c r="G98" s="13"/>
      <c r="H98" s="13"/>
      <c r="I98" s="14">
        <f>+H98+G98</f>
        <v>0</v>
      </c>
    </row>
    <row r="99" spans="2:9" hidden="1" x14ac:dyDescent="0.25">
      <c r="B99" s="54" t="s">
        <v>248</v>
      </c>
      <c r="C99" s="52" t="s">
        <v>249</v>
      </c>
      <c r="D99" s="13"/>
      <c r="E99" s="13"/>
      <c r="F99" s="14">
        <f>+E99+D99</f>
        <v>0</v>
      </c>
      <c r="G99" s="13"/>
      <c r="H99" s="13"/>
      <c r="I99" s="14">
        <f>+H99+G99</f>
        <v>0</v>
      </c>
    </row>
    <row r="100" spans="2:9" x14ac:dyDescent="0.25">
      <c r="B100" s="44" t="s">
        <v>250</v>
      </c>
      <c r="C100" s="53" t="s">
        <v>251</v>
      </c>
      <c r="D100" s="14">
        <f t="shared" ref="D100:I100" si="28">SUM(D95:D99)</f>
        <v>0</v>
      </c>
      <c r="E100" s="14">
        <f t="shared" si="28"/>
        <v>0</v>
      </c>
      <c r="F100" s="14">
        <f t="shared" si="28"/>
        <v>0</v>
      </c>
      <c r="G100" s="14">
        <f>SUM(G95:G99)</f>
        <v>0</v>
      </c>
      <c r="H100" s="14">
        <f>SUM(H95:H99)</f>
        <v>0</v>
      </c>
      <c r="I100" s="14">
        <f t="shared" si="28"/>
        <v>0</v>
      </c>
    </row>
    <row r="101" spans="2:9" x14ac:dyDescent="0.25">
      <c r="B101" s="44" t="s">
        <v>252</v>
      </c>
      <c r="C101" s="53" t="s">
        <v>253</v>
      </c>
      <c r="D101" s="13"/>
      <c r="E101" s="13"/>
      <c r="F101" s="14">
        <f>+E101+D101</f>
        <v>0</v>
      </c>
      <c r="G101" s="13"/>
      <c r="H101" s="13"/>
      <c r="I101" s="14">
        <f>+H101+G101</f>
        <v>0</v>
      </c>
    </row>
    <row r="102" spans="2:9" hidden="1" x14ac:dyDescent="0.25">
      <c r="B102" s="54" t="s">
        <v>254</v>
      </c>
      <c r="C102" s="52" t="s">
        <v>255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</row>
    <row r="103" spans="2:9" ht="31.5" hidden="1" x14ac:dyDescent="0.25">
      <c r="B103" s="41" t="s">
        <v>256</v>
      </c>
      <c r="C103" s="52" t="s">
        <v>257</v>
      </c>
      <c r="D103" s="13"/>
      <c r="E103" s="13"/>
      <c r="F103" s="14"/>
      <c r="G103" s="13"/>
      <c r="H103" s="13"/>
      <c r="I103" s="14"/>
    </row>
    <row r="104" spans="2:9" ht="31.5" hidden="1" x14ac:dyDescent="0.25">
      <c r="B104" s="54" t="s">
        <v>258</v>
      </c>
      <c r="C104" s="52" t="s">
        <v>259</v>
      </c>
      <c r="D104" s="13"/>
      <c r="E104" s="13"/>
      <c r="F104" s="14"/>
      <c r="G104" s="13"/>
      <c r="H104" s="13"/>
      <c r="I104" s="14"/>
    </row>
    <row r="105" spans="2:9" hidden="1" x14ac:dyDescent="0.25">
      <c r="B105" s="54" t="s">
        <v>260</v>
      </c>
      <c r="C105" s="52" t="s">
        <v>261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</row>
    <row r="106" spans="2:9" x14ac:dyDescent="0.25">
      <c r="B106" s="54" t="s">
        <v>262</v>
      </c>
      <c r="C106" s="52" t="s">
        <v>263</v>
      </c>
      <c r="D106" s="13">
        <v>4000000</v>
      </c>
      <c r="E106" s="13"/>
      <c r="F106" s="14">
        <f>+E106+D106</f>
        <v>4000000</v>
      </c>
      <c r="G106" s="13">
        <v>4000000</v>
      </c>
      <c r="H106" s="13"/>
      <c r="I106" s="14">
        <f>+H106+G106</f>
        <v>4000000</v>
      </c>
    </row>
    <row r="107" spans="2:9" x14ac:dyDescent="0.25">
      <c r="B107" s="44" t="s">
        <v>264</v>
      </c>
      <c r="C107" s="53" t="s">
        <v>265</v>
      </c>
      <c r="D107" s="14">
        <f t="shared" ref="D107:I107" si="29">SUM(D102:D106)</f>
        <v>4000000</v>
      </c>
      <c r="E107" s="14">
        <f t="shared" si="29"/>
        <v>0</v>
      </c>
      <c r="F107" s="14">
        <f t="shared" si="29"/>
        <v>4000000</v>
      </c>
      <c r="G107" s="14">
        <f t="shared" si="29"/>
        <v>4000000</v>
      </c>
      <c r="H107" s="14">
        <f t="shared" si="29"/>
        <v>0</v>
      </c>
      <c r="I107" s="14">
        <f t="shared" si="29"/>
        <v>4000000</v>
      </c>
    </row>
    <row r="108" spans="2:9" x14ac:dyDescent="0.25">
      <c r="B108" s="66" t="s">
        <v>266</v>
      </c>
      <c r="C108" s="55" t="s">
        <v>267</v>
      </c>
      <c r="D108" s="57">
        <f t="shared" ref="D108:I108" si="30">+D107+D101+D100+D94+D82+D75+D74</f>
        <v>72443184</v>
      </c>
      <c r="E108" s="57">
        <f t="shared" si="30"/>
        <v>301741472</v>
      </c>
      <c r="F108" s="57">
        <f t="shared" si="30"/>
        <v>374184656</v>
      </c>
      <c r="G108" s="57">
        <f t="shared" si="30"/>
        <v>72443184</v>
      </c>
      <c r="H108" s="57">
        <f t="shared" si="30"/>
        <v>301741472</v>
      </c>
      <c r="I108" s="57">
        <f t="shared" si="30"/>
        <v>374184656</v>
      </c>
    </row>
    <row r="109" spans="2:9" x14ac:dyDescent="0.25">
      <c r="B109" s="67" t="s">
        <v>268</v>
      </c>
      <c r="C109" s="68"/>
      <c r="D109" s="69">
        <f>+D101+D94+D82+D74-D33</f>
        <v>-175526325</v>
      </c>
      <c r="E109" s="69">
        <f>+E101+E94+E82+E74-E33</f>
        <v>-2800548</v>
      </c>
      <c r="F109" s="69">
        <f t="shared" ref="F109:F116" si="31">+E109+D109</f>
        <v>-178326873</v>
      </c>
      <c r="G109" s="69">
        <f>+G101+G94+G82+G74-G33</f>
        <v>-197924571</v>
      </c>
      <c r="H109" s="69">
        <f>+H101+H94+H82+H74-H33</f>
        <v>-2800548</v>
      </c>
      <c r="I109" s="69">
        <f t="shared" ref="I109:I116" si="32">+H109+G109</f>
        <v>-200725119</v>
      </c>
    </row>
    <row r="110" spans="2:9" x14ac:dyDescent="0.25">
      <c r="B110" s="67" t="s">
        <v>269</v>
      </c>
      <c r="C110" s="68"/>
      <c r="D110" s="69">
        <f>+D107+D100+D75-D57</f>
        <v>-16534000</v>
      </c>
      <c r="E110" s="69">
        <f>+E107+E100+E75-E57</f>
        <v>-10717500</v>
      </c>
      <c r="F110" s="69">
        <f t="shared" si="31"/>
        <v>-27251500</v>
      </c>
      <c r="G110" s="69">
        <f>+G107+G100+G75-G57</f>
        <v>-18284000</v>
      </c>
      <c r="H110" s="69">
        <f>+H107+H100+H75-H57</f>
        <v>-8967500</v>
      </c>
      <c r="I110" s="69">
        <f t="shared" si="32"/>
        <v>-27251500</v>
      </c>
    </row>
    <row r="111" spans="2:9" hidden="1" x14ac:dyDescent="0.25">
      <c r="B111" s="45" t="s">
        <v>581</v>
      </c>
      <c r="C111" s="44" t="s">
        <v>277</v>
      </c>
      <c r="D111" s="13"/>
      <c r="E111" s="13"/>
      <c r="F111" s="14">
        <f t="shared" si="31"/>
        <v>0</v>
      </c>
      <c r="G111" s="13"/>
      <c r="H111" s="13"/>
      <c r="I111" s="14">
        <f t="shared" si="32"/>
        <v>0</v>
      </c>
    </row>
    <row r="112" spans="2:9" hidden="1" x14ac:dyDescent="0.25">
      <c r="B112" s="61" t="s">
        <v>582</v>
      </c>
      <c r="C112" s="44" t="s">
        <v>287</v>
      </c>
      <c r="D112" s="13"/>
      <c r="E112" s="13"/>
      <c r="F112" s="14">
        <f t="shared" si="31"/>
        <v>0</v>
      </c>
      <c r="G112" s="13"/>
      <c r="H112" s="13"/>
      <c r="I112" s="14">
        <f t="shared" si="32"/>
        <v>0</v>
      </c>
    </row>
    <row r="113" spans="1:9" x14ac:dyDescent="0.25">
      <c r="B113" s="41" t="s">
        <v>288</v>
      </c>
      <c r="C113" s="41" t="s">
        <v>289</v>
      </c>
      <c r="D113" s="13">
        <v>6411000</v>
      </c>
      <c r="E113" s="13">
        <v>7275000</v>
      </c>
      <c r="F113" s="14">
        <f t="shared" si="31"/>
        <v>13686000</v>
      </c>
      <c r="G113" s="13">
        <f>36084011-H113</f>
        <v>28809011</v>
      </c>
      <c r="H113" s="13">
        <v>7275000</v>
      </c>
      <c r="I113" s="14">
        <f t="shared" si="32"/>
        <v>36084011</v>
      </c>
    </row>
    <row r="114" spans="1:9" ht="31.5" x14ac:dyDescent="0.25">
      <c r="A114" s="2" t="s">
        <v>325</v>
      </c>
      <c r="B114" s="41" t="s">
        <v>290</v>
      </c>
      <c r="C114" s="41" t="s">
        <v>289</v>
      </c>
      <c r="D114" s="13">
        <v>13218000</v>
      </c>
      <c r="E114" s="13"/>
      <c r="F114" s="14">
        <f t="shared" si="31"/>
        <v>13218000</v>
      </c>
      <c r="G114" s="13">
        <v>13218000</v>
      </c>
      <c r="H114" s="13"/>
      <c r="I114" s="14">
        <f t="shared" si="32"/>
        <v>13218000</v>
      </c>
    </row>
    <row r="115" spans="1:9" hidden="1" x14ac:dyDescent="0.25">
      <c r="B115" s="41" t="s">
        <v>291</v>
      </c>
      <c r="C115" s="41" t="s">
        <v>292</v>
      </c>
      <c r="D115" s="13"/>
      <c r="E115" s="13"/>
      <c r="F115" s="14">
        <f t="shared" si="31"/>
        <v>0</v>
      </c>
      <c r="G115" s="13"/>
      <c r="H115" s="13"/>
      <c r="I115" s="14">
        <f t="shared" si="32"/>
        <v>0</v>
      </c>
    </row>
    <row r="116" spans="1:9" hidden="1" x14ac:dyDescent="0.25">
      <c r="A116"/>
      <c r="B116" s="41" t="s">
        <v>293</v>
      </c>
      <c r="C116" s="41" t="s">
        <v>292</v>
      </c>
      <c r="D116" s="13"/>
      <c r="E116" s="13"/>
      <c r="F116" s="14">
        <f t="shared" si="31"/>
        <v>0</v>
      </c>
      <c r="G116" s="13"/>
      <c r="H116" s="13"/>
      <c r="I116" s="14">
        <f t="shared" si="32"/>
        <v>0</v>
      </c>
    </row>
    <row r="117" spans="1:9" x14ac:dyDescent="0.25">
      <c r="A117" s="2" t="s">
        <v>592</v>
      </c>
      <c r="B117" s="44" t="s">
        <v>294</v>
      </c>
      <c r="C117" s="44" t="s">
        <v>295</v>
      </c>
      <c r="D117" s="14">
        <f t="shared" ref="D117:I117" si="33">SUM(D113:D116)</f>
        <v>19629000</v>
      </c>
      <c r="E117" s="14">
        <f t="shared" si="33"/>
        <v>7275000</v>
      </c>
      <c r="F117" s="14">
        <f t="shared" si="33"/>
        <v>26904000</v>
      </c>
      <c r="G117" s="14">
        <f>SUM(G113:G116)</f>
        <v>42027011</v>
      </c>
      <c r="H117" s="14">
        <f>SUM(H113:H116)</f>
        <v>7275000</v>
      </c>
      <c r="I117" s="14">
        <f t="shared" si="33"/>
        <v>49302011</v>
      </c>
    </row>
    <row r="118" spans="1:9" hidden="1" x14ac:dyDescent="0.25">
      <c r="A118"/>
      <c r="B118" s="59" t="s">
        <v>296</v>
      </c>
      <c r="C118" s="41" t="s">
        <v>297</v>
      </c>
      <c r="D118" s="13"/>
      <c r="E118" s="13"/>
      <c r="F118" s="14">
        <f t="shared" ref="F118:F125" si="34">+E118+D118</f>
        <v>0</v>
      </c>
      <c r="G118" s="13"/>
      <c r="H118" s="13"/>
      <c r="I118" s="14">
        <f t="shared" ref="I118:I125" si="35">+H118+G118</f>
        <v>0</v>
      </c>
    </row>
    <row r="119" spans="1:9" hidden="1" x14ac:dyDescent="0.25">
      <c r="B119" s="59" t="s">
        <v>298</v>
      </c>
      <c r="C119" s="41" t="s">
        <v>299</v>
      </c>
      <c r="D119" s="13"/>
      <c r="E119" s="13"/>
      <c r="F119" s="14">
        <f t="shared" si="34"/>
        <v>0</v>
      </c>
      <c r="G119" s="13"/>
      <c r="H119" s="13"/>
      <c r="I119" s="14">
        <f t="shared" si="35"/>
        <v>0</v>
      </c>
    </row>
    <row r="120" spans="1:9" x14ac:dyDescent="0.25">
      <c r="A120" s="19" t="s">
        <v>596</v>
      </c>
      <c r="B120" s="59" t="s">
        <v>300</v>
      </c>
      <c r="C120" s="41" t="s">
        <v>301</v>
      </c>
      <c r="D120" s="13">
        <v>172431325</v>
      </c>
      <c r="E120" s="13">
        <v>6243048</v>
      </c>
      <c r="F120" s="14">
        <f t="shared" si="34"/>
        <v>178674373</v>
      </c>
      <c r="G120" s="13">
        <f>172431325+235</f>
        <v>172431560</v>
      </c>
      <c r="H120" s="13">
        <v>6243048</v>
      </c>
      <c r="I120" s="14">
        <f t="shared" si="35"/>
        <v>178674608</v>
      </c>
    </row>
    <row r="121" spans="1:9" s="185" customFormat="1" x14ac:dyDescent="0.25">
      <c r="B121" s="186" t="s">
        <v>594</v>
      </c>
      <c r="C121" s="101"/>
      <c r="D121" s="80">
        <v>0</v>
      </c>
      <c r="E121" s="80">
        <v>0</v>
      </c>
      <c r="F121" s="93">
        <f t="shared" si="34"/>
        <v>0</v>
      </c>
      <c r="G121" s="80">
        <v>0</v>
      </c>
      <c r="H121" s="80">
        <v>0</v>
      </c>
      <c r="I121" s="93">
        <f t="shared" si="35"/>
        <v>0</v>
      </c>
    </row>
    <row r="122" spans="1:9" s="185" customFormat="1" x14ac:dyDescent="0.25">
      <c r="B122" s="187" t="s">
        <v>586</v>
      </c>
      <c r="C122" s="101"/>
      <c r="D122" s="80">
        <f>+D120-D121</f>
        <v>172431325</v>
      </c>
      <c r="E122" s="80">
        <f>+E120-E121</f>
        <v>6243048</v>
      </c>
      <c r="F122" s="93">
        <f t="shared" si="34"/>
        <v>178674373</v>
      </c>
      <c r="G122" s="80">
        <f>+G120-G121</f>
        <v>172431560</v>
      </c>
      <c r="H122" s="80">
        <f>+H120-H121</f>
        <v>6243048</v>
      </c>
      <c r="I122" s="93">
        <f t="shared" si="35"/>
        <v>178674608</v>
      </c>
    </row>
    <row r="123" spans="1:9" hidden="1" x14ac:dyDescent="0.25">
      <c r="B123" s="59" t="s">
        <v>302</v>
      </c>
      <c r="C123" s="41" t="s">
        <v>303</v>
      </c>
      <c r="D123" s="13"/>
      <c r="E123" s="13"/>
      <c r="F123" s="14">
        <f t="shared" si="34"/>
        <v>0</v>
      </c>
      <c r="G123" s="13"/>
      <c r="H123" s="13"/>
      <c r="I123" s="14">
        <f t="shared" si="35"/>
        <v>0</v>
      </c>
    </row>
    <row r="124" spans="1:9" hidden="1" x14ac:dyDescent="0.25">
      <c r="B124" s="54" t="s">
        <v>304</v>
      </c>
      <c r="C124" s="41" t="s">
        <v>305</v>
      </c>
      <c r="D124" s="13"/>
      <c r="E124" s="13"/>
      <c r="F124" s="14">
        <f t="shared" si="34"/>
        <v>0</v>
      </c>
      <c r="G124" s="13"/>
      <c r="H124" s="13"/>
      <c r="I124" s="14">
        <f t="shared" si="35"/>
        <v>0</v>
      </c>
    </row>
    <row r="125" spans="1:9" hidden="1" x14ac:dyDescent="0.25">
      <c r="B125" s="54" t="s">
        <v>306</v>
      </c>
      <c r="C125" s="41" t="s">
        <v>307</v>
      </c>
      <c r="D125" s="13"/>
      <c r="E125" s="13"/>
      <c r="F125" s="14">
        <f t="shared" si="34"/>
        <v>0</v>
      </c>
      <c r="G125" s="13"/>
      <c r="H125" s="13"/>
      <c r="I125" s="14">
        <f t="shared" si="35"/>
        <v>0</v>
      </c>
    </row>
    <row r="126" spans="1:9" x14ac:dyDescent="0.25">
      <c r="B126" s="45" t="s">
        <v>308</v>
      </c>
      <c r="C126" s="44" t="s">
        <v>309</v>
      </c>
      <c r="D126" s="14">
        <f>SUM(D118:D125)+D117+D112+D111-D121-D122</f>
        <v>192060325</v>
      </c>
      <c r="E126" s="14">
        <f>SUM(E118:E125)+E117+E112+E111-E121-E122</f>
        <v>13518048</v>
      </c>
      <c r="F126" s="14">
        <f>SUM(F118:F124)+F117+F112+F111-F121-F122</f>
        <v>205578373</v>
      </c>
      <c r="G126" s="14">
        <f>SUM(G118:G125)+G117+G112+G111-G121-G122</f>
        <v>214458571</v>
      </c>
      <c r="H126" s="14">
        <f>SUM(H118:H125)+H117+H112+H111-H121-H122</f>
        <v>13518048</v>
      </c>
      <c r="I126" s="14">
        <f>SUM(I118:I124)+I117+I112+I111-I121-I122</f>
        <v>227976619</v>
      </c>
    </row>
    <row r="127" spans="1:9" hidden="1" x14ac:dyDescent="0.25">
      <c r="B127" s="59" t="s">
        <v>310</v>
      </c>
      <c r="C127" s="41" t="s">
        <v>311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4" t="s">
        <v>312</v>
      </c>
      <c r="C128" s="41" t="s">
        <v>313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4" t="s">
        <v>314</v>
      </c>
      <c r="C129" s="41" t="s">
        <v>315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2" t="s">
        <v>316</v>
      </c>
      <c r="C130" s="63" t="s">
        <v>317</v>
      </c>
      <c r="D130" s="57">
        <f>+D128+D127+D126+D129</f>
        <v>192060325</v>
      </c>
      <c r="E130" s="57">
        <f>+E128+E127+E126+E129</f>
        <v>13518048</v>
      </c>
      <c r="F130" s="57">
        <f>+F129+F127+F126</f>
        <v>205578373</v>
      </c>
      <c r="G130" s="57">
        <f>+G128+G127+G126+G129</f>
        <v>214458571</v>
      </c>
      <c r="H130" s="57">
        <f>+H128+H127+H126+H129</f>
        <v>13518048</v>
      </c>
      <c r="I130" s="57">
        <f>+I129+I127+I126</f>
        <v>227976619</v>
      </c>
    </row>
    <row r="131" spans="2:9" x14ac:dyDescent="0.25">
      <c r="B131" s="17" t="s">
        <v>318</v>
      </c>
      <c r="C131" s="17" t="s">
        <v>319</v>
      </c>
      <c r="D131" s="18">
        <f t="shared" ref="D131:I131" si="36">+D108+D130</f>
        <v>264503509</v>
      </c>
      <c r="E131" s="18">
        <f t="shared" si="36"/>
        <v>315259520</v>
      </c>
      <c r="F131" s="18">
        <f t="shared" si="36"/>
        <v>579763029</v>
      </c>
      <c r="G131" s="18">
        <f t="shared" si="36"/>
        <v>286901755</v>
      </c>
      <c r="H131" s="18">
        <f t="shared" si="36"/>
        <v>315259520</v>
      </c>
      <c r="I131" s="18">
        <f t="shared" si="36"/>
        <v>602161275</v>
      </c>
    </row>
    <row r="132" spans="2:9" x14ac:dyDescent="0.25">
      <c r="B132" s="2"/>
      <c r="C132" s="2"/>
      <c r="D132" s="3"/>
      <c r="E132" s="3"/>
      <c r="F132" s="65"/>
      <c r="G132" s="3"/>
      <c r="H132" s="3"/>
      <c r="I132" s="65"/>
    </row>
    <row r="133" spans="2:9" x14ac:dyDescent="0.25">
      <c r="B133" s="15" t="s">
        <v>320</v>
      </c>
      <c r="C133" s="15"/>
      <c r="D133" s="14">
        <f t="shared" ref="D133:I133" si="37">+D108-D58</f>
        <v>-192060325</v>
      </c>
      <c r="E133" s="14">
        <f t="shared" si="37"/>
        <v>-13518048</v>
      </c>
      <c r="F133" s="14">
        <f t="shared" si="37"/>
        <v>-205578373</v>
      </c>
      <c r="G133" s="14">
        <f t="shared" si="37"/>
        <v>-216208571</v>
      </c>
      <c r="H133" s="14">
        <f t="shared" si="37"/>
        <v>-11768048</v>
      </c>
      <c r="I133" s="14">
        <f t="shared" si="37"/>
        <v>-227976619</v>
      </c>
    </row>
    <row r="134" spans="2:9" x14ac:dyDescent="0.25">
      <c r="B134" s="15" t="s">
        <v>321</v>
      </c>
      <c r="C134" s="15"/>
      <c r="D134" s="14">
        <f t="shared" ref="D134:I134" si="38">+D130-D63</f>
        <v>192060325</v>
      </c>
      <c r="E134" s="14">
        <f t="shared" si="38"/>
        <v>13518048</v>
      </c>
      <c r="F134" s="14">
        <f t="shared" si="38"/>
        <v>205578373</v>
      </c>
      <c r="G134" s="14">
        <f t="shared" si="38"/>
        <v>214458571</v>
      </c>
      <c r="H134" s="14">
        <f t="shared" si="38"/>
        <v>13518048</v>
      </c>
      <c r="I134" s="14">
        <f t="shared" si="38"/>
        <v>227976619</v>
      </c>
    </row>
    <row r="135" spans="2:9" x14ac:dyDescent="0.25">
      <c r="B135" s="2"/>
      <c r="C135" s="2"/>
      <c r="D135" s="3"/>
      <c r="E135" s="3"/>
      <c r="F135" s="65"/>
      <c r="G135" s="3"/>
      <c r="H135" s="3"/>
      <c r="I135" s="65"/>
    </row>
    <row r="136" spans="2:9" x14ac:dyDescent="0.25">
      <c r="B136" s="70" t="s">
        <v>324</v>
      </c>
      <c r="C136" s="2"/>
      <c r="D136" s="3">
        <f t="shared" ref="D136:I136" si="39">+D131-D64</f>
        <v>0</v>
      </c>
      <c r="E136" s="3">
        <f t="shared" si="39"/>
        <v>0</v>
      </c>
      <c r="F136" s="3">
        <f t="shared" si="39"/>
        <v>0</v>
      </c>
      <c r="G136" s="3">
        <f t="shared" si="39"/>
        <v>-1750000</v>
      </c>
      <c r="H136" s="3">
        <f t="shared" si="39"/>
        <v>1750000</v>
      </c>
      <c r="I136" s="3">
        <f t="shared" si="39"/>
        <v>0</v>
      </c>
    </row>
    <row r="137" spans="2:9" x14ac:dyDescent="0.25">
      <c r="B137" s="2"/>
      <c r="C137" s="2"/>
      <c r="D137" s="3"/>
      <c r="E137" s="3"/>
      <c r="F137" s="65"/>
      <c r="G137" s="3"/>
      <c r="H137" s="3"/>
      <c r="I137" s="65"/>
    </row>
    <row r="138" spans="2:9" x14ac:dyDescent="0.25">
      <c r="B138" s="2"/>
      <c r="C138" s="2"/>
      <c r="D138" s="3"/>
      <c r="E138" s="3"/>
      <c r="F138" s="65"/>
      <c r="G138" s="3"/>
      <c r="H138" s="3"/>
      <c r="I138" s="65"/>
    </row>
    <row r="139" spans="2:9" x14ac:dyDescent="0.25">
      <c r="B139" s="2"/>
      <c r="C139" s="2"/>
      <c r="D139" s="3"/>
      <c r="E139" s="3"/>
      <c r="F139" s="65"/>
      <c r="G139" s="3"/>
      <c r="H139" s="3"/>
      <c r="I139" s="65"/>
    </row>
    <row r="140" spans="2:9" x14ac:dyDescent="0.25">
      <c r="B140" s="2"/>
      <c r="C140" s="2"/>
      <c r="D140" s="3"/>
      <c r="E140" s="3"/>
      <c r="F140" s="65"/>
      <c r="G140" s="3"/>
      <c r="H140" s="3"/>
      <c r="I140" s="65"/>
    </row>
    <row r="141" spans="2:9" x14ac:dyDescent="0.25">
      <c r="B141" s="2"/>
      <c r="C141" s="2"/>
      <c r="D141" s="3"/>
      <c r="E141" s="3"/>
      <c r="F141" s="65"/>
      <c r="G141" s="3"/>
      <c r="H141" s="3"/>
      <c r="I141" s="65"/>
    </row>
    <row r="142" spans="2:9" x14ac:dyDescent="0.25">
      <c r="B142" s="2"/>
      <c r="C142" s="2"/>
      <c r="D142" s="3"/>
      <c r="E142" s="3"/>
      <c r="F142" s="65"/>
      <c r="G142" s="3"/>
      <c r="H142" s="3"/>
      <c r="I142" s="65"/>
    </row>
    <row r="143" spans="2:9" x14ac:dyDescent="0.25">
      <c r="B143" s="2"/>
      <c r="C143" s="2"/>
      <c r="D143" s="3"/>
      <c r="E143" s="3"/>
      <c r="F143" s="65"/>
      <c r="G143" s="3"/>
      <c r="H143" s="3"/>
      <c r="I143" s="65"/>
    </row>
    <row r="144" spans="2:9" x14ac:dyDescent="0.25">
      <c r="B144" s="2"/>
      <c r="C144" s="2"/>
      <c r="D144" s="3"/>
      <c r="E144" s="3"/>
      <c r="F144" s="65"/>
      <c r="G144" s="3"/>
      <c r="H144" s="3"/>
      <c r="I144" s="65"/>
    </row>
    <row r="145" spans="2:9" x14ac:dyDescent="0.25">
      <c r="B145" s="2"/>
      <c r="C145" s="2"/>
      <c r="D145" s="3"/>
      <c r="E145" s="3"/>
      <c r="F145" s="65"/>
      <c r="G145" s="3"/>
      <c r="H145" s="3"/>
      <c r="I145" s="65"/>
    </row>
    <row r="146" spans="2:9" x14ac:dyDescent="0.25">
      <c r="B146" s="2"/>
      <c r="C146" s="2"/>
      <c r="D146" s="3"/>
      <c r="E146" s="3"/>
      <c r="F146" s="65"/>
      <c r="G146" s="3"/>
      <c r="H146" s="3"/>
      <c r="I146" s="65"/>
    </row>
    <row r="147" spans="2:9" x14ac:dyDescent="0.25">
      <c r="B147" s="2"/>
      <c r="C147" s="2"/>
      <c r="D147" s="3"/>
      <c r="E147" s="3"/>
      <c r="F147" s="65"/>
      <c r="G147" s="3"/>
      <c r="H147" s="3"/>
      <c r="I147" s="65"/>
    </row>
    <row r="148" spans="2:9" x14ac:dyDescent="0.25">
      <c r="B148" s="2"/>
      <c r="C148" s="2"/>
      <c r="D148" s="3"/>
      <c r="E148" s="3"/>
      <c r="F148" s="65"/>
      <c r="G148" s="3"/>
      <c r="H148" s="3"/>
      <c r="I148" s="65"/>
    </row>
    <row r="149" spans="2:9" x14ac:dyDescent="0.25">
      <c r="B149" s="2"/>
      <c r="C149" s="2"/>
      <c r="D149" s="3"/>
      <c r="E149" s="3"/>
      <c r="F149" s="65"/>
      <c r="G149" s="3"/>
      <c r="H149" s="3"/>
      <c r="I149" s="65"/>
    </row>
    <row r="150" spans="2:9" x14ac:dyDescent="0.25">
      <c r="B150" s="2"/>
      <c r="C150" s="2"/>
      <c r="D150" s="3"/>
      <c r="E150" s="3"/>
      <c r="F150" s="65"/>
      <c r="G150" s="3"/>
      <c r="H150" s="3"/>
      <c r="I150" s="65"/>
    </row>
    <row r="151" spans="2:9" x14ac:dyDescent="0.25">
      <c r="B151" s="2"/>
      <c r="C151" s="2"/>
      <c r="D151" s="3"/>
      <c r="E151" s="3"/>
      <c r="F151" s="65"/>
      <c r="G151" s="3"/>
      <c r="H151" s="3"/>
      <c r="I151" s="65"/>
    </row>
    <row r="152" spans="2:9" x14ac:dyDescent="0.25">
      <c r="B152" s="2"/>
      <c r="C152" s="2"/>
      <c r="D152" s="3"/>
      <c r="E152" s="3"/>
      <c r="F152" s="65"/>
      <c r="G152" s="3"/>
      <c r="H152" s="3"/>
      <c r="I152" s="65"/>
    </row>
    <row r="153" spans="2:9" x14ac:dyDescent="0.25">
      <c r="B153" s="2"/>
      <c r="C153" s="2"/>
      <c r="D153" s="3"/>
      <c r="E153" s="3"/>
      <c r="F153" s="65"/>
      <c r="G153" s="3"/>
      <c r="H153" s="3"/>
      <c r="I153" s="65"/>
    </row>
    <row r="154" spans="2:9" x14ac:dyDescent="0.25">
      <c r="B154" s="2"/>
      <c r="C154" s="2"/>
      <c r="D154" s="3"/>
      <c r="E154" s="3"/>
      <c r="F154" s="65"/>
      <c r="G154" s="3"/>
      <c r="H154" s="3"/>
      <c r="I154" s="65"/>
    </row>
    <row r="155" spans="2:9" x14ac:dyDescent="0.25">
      <c r="B155" s="2"/>
      <c r="C155" s="2"/>
      <c r="D155" s="3"/>
      <c r="E155" s="3"/>
      <c r="F155" s="65"/>
      <c r="G155" s="3"/>
      <c r="H155" s="3"/>
      <c r="I155" s="65"/>
    </row>
    <row r="156" spans="2:9" x14ac:dyDescent="0.25">
      <c r="B156" s="2"/>
      <c r="C156" s="2"/>
      <c r="D156" s="3"/>
      <c r="E156" s="3"/>
      <c r="F156" s="65"/>
      <c r="G156" s="3"/>
      <c r="H156" s="3"/>
      <c r="I156" s="65"/>
    </row>
    <row r="157" spans="2:9" x14ac:dyDescent="0.25">
      <c r="B157" s="2"/>
      <c r="C157" s="2"/>
      <c r="D157" s="3"/>
      <c r="E157" s="3"/>
      <c r="F157" s="65"/>
      <c r="G157" s="3"/>
      <c r="H157" s="3"/>
      <c r="I157" s="65"/>
    </row>
    <row r="158" spans="2:9" x14ac:dyDescent="0.25">
      <c r="B158" s="2"/>
      <c r="C158" s="2"/>
      <c r="D158" s="3"/>
      <c r="E158" s="3"/>
      <c r="F158" s="65"/>
      <c r="G158" s="3"/>
      <c r="H158" s="3"/>
      <c r="I158" s="65"/>
    </row>
    <row r="159" spans="2:9" x14ac:dyDescent="0.25">
      <c r="B159" s="2"/>
      <c r="C159" s="2"/>
      <c r="D159" s="3"/>
      <c r="E159" s="3"/>
      <c r="F159" s="65"/>
      <c r="G159" s="3"/>
      <c r="H159" s="3"/>
      <c r="I159" s="65"/>
    </row>
    <row r="160" spans="2:9" x14ac:dyDescent="0.25">
      <c r="B160" s="2"/>
      <c r="C160" s="2"/>
      <c r="D160" s="3"/>
      <c r="E160" s="3"/>
      <c r="F160" s="65"/>
      <c r="G160" s="3"/>
      <c r="H160" s="3"/>
      <c r="I160" s="65"/>
    </row>
    <row r="161" spans="2:9" x14ac:dyDescent="0.25">
      <c r="B161" s="2"/>
      <c r="C161" s="2"/>
      <c r="D161" s="3"/>
      <c r="E161" s="3"/>
      <c r="F161" s="65"/>
      <c r="G161" s="3"/>
      <c r="H161" s="3"/>
      <c r="I161" s="65"/>
    </row>
    <row r="162" spans="2:9" x14ac:dyDescent="0.25">
      <c r="B162" s="2"/>
      <c r="C162" s="2"/>
      <c r="D162" s="3"/>
      <c r="E162" s="3"/>
      <c r="F162" s="65"/>
      <c r="G162" s="3"/>
      <c r="H162" s="3"/>
      <c r="I162" s="65"/>
    </row>
    <row r="163" spans="2:9" x14ac:dyDescent="0.25">
      <c r="B163" s="2"/>
      <c r="C163" s="2"/>
      <c r="D163" s="3"/>
      <c r="E163" s="3"/>
      <c r="F163" s="65"/>
      <c r="G163" s="3"/>
      <c r="H163" s="3"/>
      <c r="I163" s="65"/>
    </row>
    <row r="164" spans="2:9" x14ac:dyDescent="0.25">
      <c r="B164" s="2"/>
      <c r="C164" s="2"/>
      <c r="D164" s="3"/>
      <c r="E164" s="3"/>
      <c r="F164" s="65"/>
      <c r="G164" s="3"/>
      <c r="H164" s="3"/>
      <c r="I164" s="65"/>
    </row>
    <row r="165" spans="2:9" x14ac:dyDescent="0.25">
      <c r="B165" s="2"/>
      <c r="C165" s="2"/>
      <c r="D165" s="3"/>
      <c r="E165" s="3"/>
      <c r="F165" s="65"/>
      <c r="G165" s="3"/>
      <c r="H165" s="3"/>
      <c r="I165" s="65"/>
    </row>
    <row r="166" spans="2:9" x14ac:dyDescent="0.25">
      <c r="B166" s="2"/>
      <c r="C166" s="2"/>
      <c r="D166" s="3"/>
      <c r="E166" s="3"/>
      <c r="F166" s="65"/>
      <c r="G166" s="3"/>
      <c r="H166" s="3"/>
      <c r="I166" s="65"/>
    </row>
    <row r="167" spans="2:9" x14ac:dyDescent="0.25">
      <c r="B167" s="2"/>
      <c r="C167" s="2"/>
      <c r="D167" s="3"/>
      <c r="E167" s="3"/>
      <c r="F167" s="65"/>
      <c r="G167" s="3"/>
      <c r="H167" s="3"/>
      <c r="I167" s="65"/>
    </row>
    <row r="168" spans="2:9" x14ac:dyDescent="0.25">
      <c r="B168" s="2"/>
      <c r="C168" s="2"/>
      <c r="D168" s="3"/>
      <c r="E168" s="3"/>
      <c r="F168" s="65"/>
      <c r="G168" s="3"/>
      <c r="H168" s="3"/>
      <c r="I168" s="65"/>
    </row>
    <row r="169" spans="2:9" x14ac:dyDescent="0.25">
      <c r="B169" s="2"/>
      <c r="C169" s="2"/>
      <c r="D169" s="3"/>
      <c r="E169" s="3"/>
      <c r="F169" s="65"/>
      <c r="G169" s="3"/>
      <c r="H169" s="3"/>
      <c r="I169" s="65"/>
    </row>
    <row r="170" spans="2:9" x14ac:dyDescent="0.25">
      <c r="B170" s="2"/>
      <c r="C170" s="2"/>
      <c r="D170" s="3"/>
      <c r="E170" s="3"/>
      <c r="F170" s="65"/>
      <c r="G170" s="3"/>
      <c r="H170" s="3"/>
      <c r="I170" s="65"/>
    </row>
    <row r="171" spans="2:9" x14ac:dyDescent="0.25">
      <c r="B171" s="2"/>
      <c r="C171" s="2"/>
      <c r="D171" s="3"/>
      <c r="E171" s="3"/>
      <c r="F171" s="65"/>
      <c r="G171" s="3"/>
      <c r="H171" s="3"/>
      <c r="I171" s="65"/>
    </row>
    <row r="172" spans="2:9" x14ac:dyDescent="0.25">
      <c r="B172" s="2"/>
      <c r="C172" s="2"/>
      <c r="D172" s="3"/>
      <c r="E172" s="3"/>
      <c r="F172" s="65"/>
      <c r="G172" s="3"/>
      <c r="H172" s="3"/>
      <c r="I172" s="65"/>
    </row>
    <row r="173" spans="2:9" x14ac:dyDescent="0.25">
      <c r="B173" s="2"/>
      <c r="C173" s="2"/>
      <c r="D173" s="3"/>
      <c r="E173" s="3"/>
      <c r="F173" s="65"/>
      <c r="G173" s="3"/>
      <c r="H173" s="3"/>
      <c r="I173" s="65"/>
    </row>
    <row r="174" spans="2:9" x14ac:dyDescent="0.25">
      <c r="B174" s="2"/>
      <c r="C174" s="2"/>
      <c r="D174" s="3"/>
      <c r="E174" s="3"/>
      <c r="F174" s="65"/>
      <c r="G174" s="3"/>
      <c r="H174" s="3"/>
      <c r="I174" s="65"/>
    </row>
    <row r="175" spans="2:9" x14ac:dyDescent="0.25">
      <c r="B175" s="2"/>
      <c r="C175" s="2"/>
      <c r="D175" s="3"/>
      <c r="E175" s="3"/>
      <c r="F175" s="65"/>
      <c r="G175" s="3"/>
      <c r="H175" s="3"/>
      <c r="I175" s="65"/>
    </row>
    <row r="176" spans="2:9" x14ac:dyDescent="0.25">
      <c r="B176" s="2"/>
      <c r="C176" s="2"/>
      <c r="D176" s="3"/>
      <c r="E176" s="3"/>
      <c r="F176" s="65"/>
      <c r="G176" s="3"/>
      <c r="H176" s="3"/>
      <c r="I176" s="65"/>
    </row>
    <row r="177" spans="2:9" x14ac:dyDescent="0.25">
      <c r="B177" s="2"/>
      <c r="C177" s="2"/>
      <c r="D177" s="3"/>
      <c r="E177" s="3"/>
      <c r="F177" s="65"/>
      <c r="G177" s="3"/>
      <c r="H177" s="3"/>
      <c r="I177" s="65"/>
    </row>
    <row r="178" spans="2:9" x14ac:dyDescent="0.25">
      <c r="B178" s="2"/>
      <c r="C178" s="2"/>
      <c r="D178" s="3"/>
      <c r="E178" s="3"/>
      <c r="F178" s="65"/>
      <c r="G178" s="3"/>
      <c r="H178" s="3"/>
      <c r="I178" s="65"/>
    </row>
    <row r="179" spans="2:9" x14ac:dyDescent="0.25">
      <c r="B179" s="2"/>
      <c r="C179" s="2"/>
      <c r="D179" s="3"/>
      <c r="E179" s="3"/>
      <c r="F179" s="65"/>
      <c r="G179" s="3"/>
      <c r="H179" s="3"/>
      <c r="I179" s="65"/>
    </row>
    <row r="180" spans="2:9" x14ac:dyDescent="0.25">
      <c r="B180" s="2"/>
      <c r="C180" s="2"/>
      <c r="D180" s="3"/>
      <c r="E180" s="3"/>
      <c r="F180" s="65"/>
      <c r="G180" s="3"/>
      <c r="H180" s="3"/>
      <c r="I180" s="65"/>
    </row>
    <row r="181" spans="2:9" x14ac:dyDescent="0.25">
      <c r="B181" s="2"/>
      <c r="C181" s="2"/>
      <c r="D181" s="3"/>
      <c r="E181" s="3"/>
      <c r="F181" s="65"/>
      <c r="G181" s="3"/>
      <c r="H181" s="3"/>
      <c r="I181" s="65"/>
    </row>
    <row r="182" spans="2:9" x14ac:dyDescent="0.25">
      <c r="B182" s="2"/>
      <c r="C182" s="2"/>
      <c r="D182" s="3"/>
      <c r="E182" s="3"/>
      <c r="F182" s="65"/>
      <c r="G182" s="3"/>
      <c r="H182" s="3"/>
      <c r="I182" s="65"/>
    </row>
    <row r="183" spans="2:9" x14ac:dyDescent="0.25">
      <c r="B183" s="2"/>
      <c r="C183" s="2"/>
      <c r="D183" s="3"/>
      <c r="E183" s="3"/>
      <c r="F183" s="65"/>
      <c r="G183" s="3"/>
      <c r="H183" s="3"/>
      <c r="I183" s="65"/>
    </row>
    <row r="184" spans="2:9" x14ac:dyDescent="0.25">
      <c r="B184" s="2"/>
      <c r="C184" s="2"/>
      <c r="D184" s="3"/>
      <c r="E184" s="3"/>
      <c r="F184" s="65"/>
      <c r="G184" s="3"/>
      <c r="H184" s="3"/>
      <c r="I184" s="65"/>
    </row>
    <row r="185" spans="2:9" x14ac:dyDescent="0.25">
      <c r="B185" s="2"/>
      <c r="C185" s="2"/>
      <c r="D185" s="3"/>
      <c r="E185" s="3"/>
      <c r="F185" s="65"/>
      <c r="G185" s="3"/>
      <c r="H185" s="3"/>
      <c r="I185" s="65"/>
    </row>
    <row r="186" spans="2:9" x14ac:dyDescent="0.25">
      <c r="B186" s="2"/>
      <c r="C186" s="2"/>
      <c r="D186" s="3"/>
      <c r="E186" s="3"/>
      <c r="F186" s="65"/>
      <c r="G186" s="3"/>
      <c r="H186" s="3"/>
      <c r="I186" s="65"/>
    </row>
    <row r="187" spans="2:9" x14ac:dyDescent="0.25">
      <c r="B187" s="2"/>
      <c r="C187" s="2"/>
      <c r="D187" s="3"/>
      <c r="E187" s="3"/>
      <c r="F187" s="65"/>
      <c r="G187" s="3"/>
      <c r="H187" s="3"/>
      <c r="I187" s="65"/>
    </row>
    <row r="188" spans="2:9" x14ac:dyDescent="0.25">
      <c r="B188" s="2"/>
      <c r="C188" s="2"/>
      <c r="D188" s="3"/>
      <c r="E188" s="3"/>
      <c r="F188" s="65"/>
      <c r="G188" s="3"/>
      <c r="H188" s="3"/>
      <c r="I188" s="65"/>
    </row>
    <row r="189" spans="2:9" x14ac:dyDescent="0.25">
      <c r="B189" s="2"/>
      <c r="C189" s="2"/>
      <c r="D189" s="3"/>
      <c r="E189" s="3"/>
      <c r="F189" s="65"/>
      <c r="G189" s="3"/>
      <c r="H189" s="3"/>
      <c r="I189" s="65"/>
    </row>
    <row r="190" spans="2:9" x14ac:dyDescent="0.25">
      <c r="B190" s="2"/>
      <c r="C190" s="2"/>
      <c r="D190" s="3"/>
      <c r="E190" s="3"/>
      <c r="F190" s="65"/>
      <c r="G190" s="3"/>
      <c r="H190" s="3"/>
      <c r="I190" s="65"/>
    </row>
    <row r="191" spans="2:9" x14ac:dyDescent="0.25">
      <c r="B191" s="2"/>
      <c r="C191" s="2"/>
      <c r="D191" s="3"/>
      <c r="E191" s="3"/>
      <c r="F191" s="65"/>
      <c r="G191" s="3"/>
      <c r="H191" s="3"/>
      <c r="I191" s="65"/>
    </row>
    <row r="192" spans="2:9" x14ac:dyDescent="0.25">
      <c r="B192" s="2"/>
      <c r="C192" s="2"/>
      <c r="D192" s="3"/>
      <c r="E192" s="3"/>
      <c r="F192" s="65"/>
      <c r="G192" s="3"/>
      <c r="H192" s="3"/>
      <c r="I192" s="65"/>
    </row>
    <row r="193" spans="2:9" x14ac:dyDescent="0.25">
      <c r="B193" s="2"/>
      <c r="C193" s="2"/>
      <c r="D193" s="3"/>
      <c r="E193" s="3"/>
      <c r="F193" s="65"/>
      <c r="G193" s="3"/>
      <c r="H193" s="3"/>
      <c r="I193" s="65"/>
    </row>
    <row r="194" spans="2:9" x14ac:dyDescent="0.25">
      <c r="B194" s="2"/>
      <c r="C194" s="2"/>
      <c r="D194" s="3"/>
      <c r="E194" s="3"/>
      <c r="F194" s="65"/>
      <c r="G194" s="3"/>
      <c r="H194" s="3"/>
      <c r="I194" s="65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60972222222222228" right="0.24513888888888888" top="0.59027777777777779" bottom="0.51180555555555551" header="0.51180555555555551" footer="0.31527777777777777"/>
  <pageSetup paperSize="9" scale="55" firstPageNumber="0" orientation="portrait" horizontalDpi="300" verticalDpi="300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J260"/>
  <sheetViews>
    <sheetView view="pageBreakPreview" zoomScale="80" zoomScaleSheetLayoutView="80" workbookViewId="0">
      <selection activeCell="I1" sqref="I1"/>
    </sheetView>
  </sheetViews>
  <sheetFormatPr defaultColWidth="11.5703125" defaultRowHeight="15.75" x14ac:dyDescent="0.25"/>
  <cols>
    <col min="1" max="1" width="10.7109375" style="19" customWidth="1"/>
    <col min="2" max="2" width="65.42578125" style="19" customWidth="1"/>
    <col min="3" max="3" width="9.85546875" style="19" customWidth="1"/>
    <col min="4" max="5" width="14.5703125" style="19" customWidth="1"/>
    <col min="6" max="6" width="14.5703125" style="20" customWidth="1"/>
    <col min="7" max="7" width="13.42578125" style="19" customWidth="1"/>
    <col min="8" max="8" width="13.7109375" style="19" customWidth="1"/>
    <col min="9" max="9" width="14.28515625" style="20" customWidth="1"/>
    <col min="10" max="244" width="9.140625" style="19" customWidth="1"/>
  </cols>
  <sheetData>
    <row r="1" spans="2:9" s="2" customFormat="1" ht="18.75" x14ac:dyDescent="0.25">
      <c r="I1" s="4" t="s">
        <v>909</v>
      </c>
    </row>
    <row r="2" spans="2:9" s="2" customFormat="1" ht="20.25" x14ac:dyDescent="0.3">
      <c r="B2" s="180" t="s">
        <v>2</v>
      </c>
      <c r="I2" s="5" t="str">
        <f>+'9 VGIG'!I2</f>
        <v>a 2/2020.(II.27. ) önkormányzati rendelethez</v>
      </c>
    </row>
    <row r="3" spans="2:9" s="2" customFormat="1" x14ac:dyDescent="0.25">
      <c r="B3" s="31" t="s">
        <v>768</v>
      </c>
      <c r="C3" s="25"/>
      <c r="D3" s="25"/>
      <c r="E3" s="25"/>
      <c r="F3" s="26"/>
      <c r="G3" s="25"/>
      <c r="H3" s="25"/>
      <c r="I3" s="26"/>
    </row>
    <row r="4" spans="2:9" s="2" customFormat="1" x14ac:dyDescent="0.25">
      <c r="B4" s="29" t="s">
        <v>717</v>
      </c>
      <c r="C4" s="30"/>
      <c r="D4" s="30"/>
      <c r="E4" s="30"/>
      <c r="F4" s="31"/>
      <c r="G4" s="30"/>
      <c r="H4" s="30"/>
      <c r="I4" s="31"/>
    </row>
    <row r="5" spans="2:9" ht="15.75" customHeight="1" x14ac:dyDescent="0.25">
      <c r="B5" s="34"/>
      <c r="D5" s="583" t="s">
        <v>6</v>
      </c>
      <c r="E5" s="583"/>
      <c r="F5" s="583"/>
      <c r="G5" s="583" t="s">
        <v>7</v>
      </c>
      <c r="H5" s="583"/>
      <c r="I5" s="583"/>
    </row>
    <row r="6" spans="2:9" ht="31.5" x14ac:dyDescent="0.25">
      <c r="B6" s="8" t="s">
        <v>8</v>
      </c>
      <c r="C6" s="35" t="s">
        <v>33</v>
      </c>
      <c r="D6" s="36" t="s">
        <v>9</v>
      </c>
      <c r="E6" s="36" t="s">
        <v>10</v>
      </c>
      <c r="F6" s="35" t="s">
        <v>515</v>
      </c>
      <c r="G6" s="36" t="s">
        <v>9</v>
      </c>
      <c r="H6" s="36" t="s">
        <v>10</v>
      </c>
      <c r="I6" s="35" t="s">
        <v>515</v>
      </c>
    </row>
    <row r="7" spans="2:9" x14ac:dyDescent="0.25">
      <c r="B7" s="39" t="s">
        <v>34</v>
      </c>
      <c r="C7" s="40" t="s">
        <v>35</v>
      </c>
      <c r="D7" s="13">
        <v>35422272</v>
      </c>
      <c r="E7" s="13">
        <v>186298728</v>
      </c>
      <c r="F7" s="14">
        <f>+D7+E7</f>
        <v>221721000</v>
      </c>
      <c r="G7" s="13">
        <v>35422272</v>
      </c>
      <c r="H7" s="13">
        <v>186411096</v>
      </c>
      <c r="I7" s="14">
        <f>+G7+H7</f>
        <v>221833368</v>
      </c>
    </row>
    <row r="8" spans="2:9" x14ac:dyDescent="0.25">
      <c r="B8" s="41" t="s">
        <v>36</v>
      </c>
      <c r="C8" s="40" t="s">
        <v>37</v>
      </c>
      <c r="D8" s="13"/>
      <c r="E8" s="13">
        <v>16860000</v>
      </c>
      <c r="F8" s="14">
        <f>+D8+E8</f>
        <v>16860000</v>
      </c>
      <c r="G8" s="13"/>
      <c r="H8" s="13">
        <v>16861732</v>
      </c>
      <c r="I8" s="14">
        <f>+G8+H8</f>
        <v>16861732</v>
      </c>
    </row>
    <row r="9" spans="2:9" x14ac:dyDescent="0.25">
      <c r="B9" s="42" t="s">
        <v>38</v>
      </c>
      <c r="C9" s="43" t="s">
        <v>39</v>
      </c>
      <c r="D9" s="14">
        <f t="shared" ref="D9:I9" si="0">SUM(D7:D8)</f>
        <v>35422272</v>
      </c>
      <c r="E9" s="14">
        <f t="shared" si="0"/>
        <v>203158728</v>
      </c>
      <c r="F9" s="14">
        <f t="shared" si="0"/>
        <v>238581000</v>
      </c>
      <c r="G9" s="14">
        <f>SUM(G7:G8)</f>
        <v>35422272</v>
      </c>
      <c r="H9" s="14">
        <f>SUM(H7:H8)</f>
        <v>203272828</v>
      </c>
      <c r="I9" s="14">
        <f t="shared" si="0"/>
        <v>238695100</v>
      </c>
    </row>
    <row r="10" spans="2:9" x14ac:dyDescent="0.25">
      <c r="B10" s="44" t="s">
        <v>40</v>
      </c>
      <c r="C10" s="43" t="s">
        <v>41</v>
      </c>
      <c r="D10" s="13">
        <v>6198898</v>
      </c>
      <c r="E10" s="13">
        <v>32994602</v>
      </c>
      <c r="F10" s="14">
        <f t="shared" ref="F10:F15" si="1">+D10+E10</f>
        <v>39193500</v>
      </c>
      <c r="G10" s="13">
        <v>6198898</v>
      </c>
      <c r="H10" s="13">
        <v>33014570</v>
      </c>
      <c r="I10" s="14">
        <f t="shared" ref="I10:I15" si="2">+G10+H10</f>
        <v>39213468</v>
      </c>
    </row>
    <row r="11" spans="2:9" x14ac:dyDescent="0.25">
      <c r="B11" s="41" t="s">
        <v>42</v>
      </c>
      <c r="C11" s="40" t="s">
        <v>43</v>
      </c>
      <c r="D11" s="13">
        <v>668830</v>
      </c>
      <c r="E11" s="13">
        <v>39002170</v>
      </c>
      <c r="F11" s="14">
        <f t="shared" si="1"/>
        <v>39671000</v>
      </c>
      <c r="G11" s="13">
        <v>668830</v>
      </c>
      <c r="H11" s="13">
        <v>21320500</v>
      </c>
      <c r="I11" s="14">
        <f t="shared" si="2"/>
        <v>21989330</v>
      </c>
    </row>
    <row r="12" spans="2:9" x14ac:dyDescent="0.25">
      <c r="B12" s="41" t="s">
        <v>44</v>
      </c>
      <c r="C12" s="40" t="s">
        <v>45</v>
      </c>
      <c r="D12" s="13">
        <v>610000</v>
      </c>
      <c r="E12" s="13">
        <v>5620000</v>
      </c>
      <c r="F12" s="14">
        <f t="shared" si="1"/>
        <v>6230000</v>
      </c>
      <c r="G12" s="13">
        <v>610000</v>
      </c>
      <c r="H12" s="13">
        <v>9237665</v>
      </c>
      <c r="I12" s="14">
        <f t="shared" si="2"/>
        <v>9847665</v>
      </c>
    </row>
    <row r="13" spans="2:9" x14ac:dyDescent="0.25">
      <c r="B13" s="41" t="s">
        <v>46</v>
      </c>
      <c r="C13" s="40" t="s">
        <v>47</v>
      </c>
      <c r="D13" s="13">
        <v>16000000</v>
      </c>
      <c r="E13" s="13">
        <v>149721000</v>
      </c>
      <c r="F13" s="14">
        <f t="shared" si="1"/>
        <v>165721000</v>
      </c>
      <c r="G13" s="13">
        <v>16000000</v>
      </c>
      <c r="H13" s="13">
        <v>165000008</v>
      </c>
      <c r="I13" s="14">
        <f t="shared" si="2"/>
        <v>181000008</v>
      </c>
    </row>
    <row r="14" spans="2:9" x14ac:dyDescent="0.25">
      <c r="B14" s="41" t="s">
        <v>48</v>
      </c>
      <c r="C14" s="40" t="s">
        <v>49</v>
      </c>
      <c r="D14" s="13">
        <v>100000</v>
      </c>
      <c r="E14" s="13">
        <v>264000</v>
      </c>
      <c r="F14" s="14">
        <f t="shared" si="1"/>
        <v>364000</v>
      </c>
      <c r="G14" s="13">
        <v>60000</v>
      </c>
      <c r="H14" s="13">
        <v>84070</v>
      </c>
      <c r="I14" s="14">
        <f t="shared" si="2"/>
        <v>144070</v>
      </c>
    </row>
    <row r="15" spans="2:9" x14ac:dyDescent="0.25">
      <c r="B15" s="41" t="s">
        <v>50</v>
      </c>
      <c r="C15" s="40" t="s">
        <v>51</v>
      </c>
      <c r="D15" s="13">
        <v>0</v>
      </c>
      <c r="E15" s="13">
        <v>18003200</v>
      </c>
      <c r="F15" s="14">
        <f t="shared" si="1"/>
        <v>18003200</v>
      </c>
      <c r="G15" s="13">
        <v>0</v>
      </c>
      <c r="H15" s="13">
        <v>17108127</v>
      </c>
      <c r="I15" s="14">
        <f t="shared" si="2"/>
        <v>17108127</v>
      </c>
    </row>
    <row r="16" spans="2:9" x14ac:dyDescent="0.25">
      <c r="B16" s="44" t="s">
        <v>52</v>
      </c>
      <c r="C16" s="43" t="s">
        <v>53</v>
      </c>
      <c r="D16" s="14">
        <f t="shared" ref="D16:I16" si="3">SUM(D11:D15)</f>
        <v>17378830</v>
      </c>
      <c r="E16" s="14">
        <f t="shared" si="3"/>
        <v>212610370</v>
      </c>
      <c r="F16" s="14">
        <f t="shared" si="3"/>
        <v>229989200</v>
      </c>
      <c r="G16" s="14">
        <f>SUM(G11:G15)</f>
        <v>17338830</v>
      </c>
      <c r="H16" s="14">
        <f>SUM(H11:H15)</f>
        <v>212750370</v>
      </c>
      <c r="I16" s="14">
        <f t="shared" si="3"/>
        <v>230089200</v>
      </c>
    </row>
    <row r="17" spans="2:9" x14ac:dyDescent="0.25">
      <c r="B17" s="45" t="s">
        <v>54</v>
      </c>
      <c r="C17" s="43" t="s">
        <v>55</v>
      </c>
      <c r="D17" s="13"/>
      <c r="E17" s="13"/>
      <c r="F17" s="14">
        <f t="shared" ref="F17:F31" si="4">+D17+E17</f>
        <v>0</v>
      </c>
      <c r="G17" s="13"/>
      <c r="H17" s="13"/>
      <c r="I17" s="14">
        <f t="shared" ref="I17:I31" si="5">+G17+H17</f>
        <v>0</v>
      </c>
    </row>
    <row r="18" spans="2:9" x14ac:dyDescent="0.25">
      <c r="B18" s="46" t="s">
        <v>56</v>
      </c>
      <c r="C18" s="40" t="s">
        <v>57</v>
      </c>
      <c r="D18" s="13"/>
      <c r="E18" s="13"/>
      <c r="F18" s="14">
        <f t="shared" si="4"/>
        <v>0</v>
      </c>
      <c r="G18" s="13"/>
      <c r="H18" s="13"/>
      <c r="I18" s="14">
        <f t="shared" si="5"/>
        <v>0</v>
      </c>
    </row>
    <row r="19" spans="2:9" x14ac:dyDescent="0.25">
      <c r="B19" s="46" t="s">
        <v>58</v>
      </c>
      <c r="C19" s="40" t="s">
        <v>59</v>
      </c>
      <c r="D19" s="13"/>
      <c r="E19" s="13"/>
      <c r="F19" s="14">
        <f t="shared" si="4"/>
        <v>0</v>
      </c>
      <c r="G19" s="13"/>
      <c r="H19" s="13"/>
      <c r="I19" s="14">
        <f t="shared" si="5"/>
        <v>0</v>
      </c>
    </row>
    <row r="20" spans="2:9" ht="31.5" hidden="1" x14ac:dyDescent="0.25">
      <c r="B20" s="46" t="s">
        <v>60</v>
      </c>
      <c r="C20" s="40" t="s">
        <v>61</v>
      </c>
      <c r="D20" s="13"/>
      <c r="E20" s="13"/>
      <c r="F20" s="14">
        <f t="shared" si="4"/>
        <v>0</v>
      </c>
      <c r="G20" s="13"/>
      <c r="H20" s="13"/>
      <c r="I20" s="14">
        <f t="shared" si="5"/>
        <v>0</v>
      </c>
    </row>
    <row r="21" spans="2:9" ht="31.5" hidden="1" x14ac:dyDescent="0.25">
      <c r="B21" s="46" t="s">
        <v>62</v>
      </c>
      <c r="C21" s="40" t="s">
        <v>63</v>
      </c>
      <c r="D21" s="13"/>
      <c r="E21" s="13"/>
      <c r="F21" s="14">
        <f t="shared" si="4"/>
        <v>0</v>
      </c>
      <c r="G21" s="13"/>
      <c r="H21" s="13"/>
      <c r="I21" s="14">
        <f t="shared" si="5"/>
        <v>0</v>
      </c>
    </row>
    <row r="22" spans="2:9" ht="31.5" hidden="1" x14ac:dyDescent="0.25">
      <c r="B22" s="46" t="s">
        <v>587</v>
      </c>
      <c r="C22" s="40" t="s">
        <v>65</v>
      </c>
      <c r="D22" s="13"/>
      <c r="E22" s="13"/>
      <c r="F22" s="14">
        <f t="shared" si="4"/>
        <v>0</v>
      </c>
      <c r="G22" s="13"/>
      <c r="H22" s="13"/>
      <c r="I22" s="14">
        <f t="shared" si="5"/>
        <v>0</v>
      </c>
    </row>
    <row r="23" spans="2:9" hidden="1" x14ac:dyDescent="0.25">
      <c r="B23" s="46" t="s">
        <v>66</v>
      </c>
      <c r="C23" s="40" t="s">
        <v>67</v>
      </c>
      <c r="D23" s="13"/>
      <c r="E23" s="13"/>
      <c r="F23" s="14">
        <f t="shared" si="4"/>
        <v>0</v>
      </c>
      <c r="G23" s="13"/>
      <c r="H23" s="13"/>
      <c r="I23" s="14">
        <f t="shared" si="5"/>
        <v>0</v>
      </c>
    </row>
    <row r="24" spans="2:9" ht="31.5" hidden="1" x14ac:dyDescent="0.25">
      <c r="B24" s="46" t="s">
        <v>68</v>
      </c>
      <c r="C24" s="40" t="s">
        <v>69</v>
      </c>
      <c r="D24" s="13"/>
      <c r="E24" s="13"/>
      <c r="F24" s="14">
        <f t="shared" si="4"/>
        <v>0</v>
      </c>
      <c r="G24" s="13"/>
      <c r="H24" s="13"/>
      <c r="I24" s="14">
        <f t="shared" si="5"/>
        <v>0</v>
      </c>
    </row>
    <row r="25" spans="2:9" ht="31.5" hidden="1" x14ac:dyDescent="0.25">
      <c r="B25" s="46" t="s">
        <v>70</v>
      </c>
      <c r="C25" s="40" t="s">
        <v>71</v>
      </c>
      <c r="D25" s="13"/>
      <c r="E25" s="13"/>
      <c r="F25" s="14">
        <f t="shared" si="4"/>
        <v>0</v>
      </c>
      <c r="G25" s="13"/>
      <c r="H25" s="13"/>
      <c r="I25" s="14">
        <f t="shared" si="5"/>
        <v>0</v>
      </c>
    </row>
    <row r="26" spans="2:9" hidden="1" x14ac:dyDescent="0.25">
      <c r="B26" s="46" t="s">
        <v>72</v>
      </c>
      <c r="C26" s="40" t="s">
        <v>73</v>
      </c>
      <c r="D26" s="13"/>
      <c r="E26" s="13"/>
      <c r="F26" s="14">
        <f t="shared" si="4"/>
        <v>0</v>
      </c>
      <c r="G26" s="13"/>
      <c r="H26" s="13"/>
      <c r="I26" s="14">
        <f t="shared" si="5"/>
        <v>0</v>
      </c>
    </row>
    <row r="27" spans="2:9" hidden="1" x14ac:dyDescent="0.25">
      <c r="B27" s="47" t="s">
        <v>74</v>
      </c>
      <c r="C27" s="40" t="s">
        <v>75</v>
      </c>
      <c r="D27" s="13"/>
      <c r="E27" s="13"/>
      <c r="F27" s="14">
        <f t="shared" si="4"/>
        <v>0</v>
      </c>
      <c r="G27" s="13"/>
      <c r="H27" s="13"/>
      <c r="I27" s="14">
        <f t="shared" si="5"/>
        <v>0</v>
      </c>
    </row>
    <row r="28" spans="2:9" hidden="1" x14ac:dyDescent="0.25">
      <c r="B28" s="47" t="s">
        <v>588</v>
      </c>
      <c r="C28" s="40" t="s">
        <v>77</v>
      </c>
      <c r="D28" s="13"/>
      <c r="E28" s="13"/>
      <c r="F28" s="14">
        <f t="shared" si="4"/>
        <v>0</v>
      </c>
      <c r="G28" s="13"/>
      <c r="H28" s="13"/>
      <c r="I28" s="14">
        <f t="shared" si="5"/>
        <v>0</v>
      </c>
    </row>
    <row r="29" spans="2:9" hidden="1" x14ac:dyDescent="0.25">
      <c r="B29" s="46" t="s">
        <v>78</v>
      </c>
      <c r="C29" s="40" t="s">
        <v>79</v>
      </c>
      <c r="D29" s="13"/>
      <c r="E29" s="13"/>
      <c r="F29" s="14">
        <f t="shared" si="4"/>
        <v>0</v>
      </c>
      <c r="G29" s="13"/>
      <c r="H29" s="13"/>
      <c r="I29" s="14">
        <f t="shared" si="5"/>
        <v>0</v>
      </c>
    </row>
    <row r="30" spans="2:9" hidden="1" x14ac:dyDescent="0.25">
      <c r="B30" s="47" t="s">
        <v>80</v>
      </c>
      <c r="C30" s="40" t="s">
        <v>81</v>
      </c>
      <c r="D30" s="13"/>
      <c r="E30" s="13"/>
      <c r="F30" s="14">
        <f t="shared" si="4"/>
        <v>0</v>
      </c>
      <c r="G30" s="13"/>
      <c r="H30" s="13"/>
      <c r="I30" s="14">
        <f t="shared" si="5"/>
        <v>0</v>
      </c>
    </row>
    <row r="31" spans="2:9" hidden="1" x14ac:dyDescent="0.25">
      <c r="B31" s="47" t="s">
        <v>82</v>
      </c>
      <c r="C31" s="40" t="s">
        <v>81</v>
      </c>
      <c r="D31" s="13"/>
      <c r="E31" s="13"/>
      <c r="F31" s="14">
        <f t="shared" si="4"/>
        <v>0</v>
      </c>
      <c r="G31" s="13"/>
      <c r="H31" s="13"/>
      <c r="I31" s="14">
        <f t="shared" si="5"/>
        <v>0</v>
      </c>
    </row>
    <row r="32" spans="2:9" s="20" customFormat="1" x14ac:dyDescent="0.25">
      <c r="B32" s="45" t="s">
        <v>83</v>
      </c>
      <c r="C32" s="43" t="s">
        <v>84</v>
      </c>
      <c r="D32" s="14">
        <f t="shared" ref="D32:I32" si="6">SUM(D18:D31)</f>
        <v>0</v>
      </c>
      <c r="E32" s="14">
        <f t="shared" si="6"/>
        <v>0</v>
      </c>
      <c r="F32" s="14">
        <f t="shared" si="6"/>
        <v>0</v>
      </c>
      <c r="G32" s="14">
        <f>SUM(G18:G31)</f>
        <v>0</v>
      </c>
      <c r="H32" s="14">
        <f>SUM(H18:H31)</f>
        <v>0</v>
      </c>
      <c r="I32" s="14">
        <f t="shared" si="6"/>
        <v>0</v>
      </c>
    </row>
    <row r="33" spans="2:9" x14ac:dyDescent="0.25">
      <c r="B33" s="48" t="s">
        <v>85</v>
      </c>
      <c r="C33" s="49" t="s">
        <v>86</v>
      </c>
      <c r="D33" s="50">
        <f t="shared" ref="D33:I33" si="7">+D32+D17+D16+D10+D9</f>
        <v>59000000</v>
      </c>
      <c r="E33" s="50">
        <f t="shared" si="7"/>
        <v>448763700</v>
      </c>
      <c r="F33" s="50">
        <f t="shared" si="7"/>
        <v>507763700</v>
      </c>
      <c r="G33" s="50">
        <f>+G32+G17+G16+G10+G9</f>
        <v>58960000</v>
      </c>
      <c r="H33" s="50">
        <f>+H32+H17+H16+H10+H9</f>
        <v>449037768</v>
      </c>
      <c r="I33" s="50">
        <f t="shared" si="7"/>
        <v>507997768</v>
      </c>
    </row>
    <row r="34" spans="2:9" x14ac:dyDescent="0.25">
      <c r="B34" s="51" t="s">
        <v>87</v>
      </c>
      <c r="C34" s="40" t="s">
        <v>88</v>
      </c>
      <c r="D34" s="13"/>
      <c r="E34" s="13"/>
      <c r="F34" s="14">
        <f t="shared" ref="F34:F40" si="8">+D34+E34</f>
        <v>0</v>
      </c>
      <c r="G34" s="13"/>
      <c r="H34" s="13"/>
      <c r="I34" s="14">
        <f t="shared" ref="I34:I40" si="9">+G34+H34</f>
        <v>0</v>
      </c>
    </row>
    <row r="35" spans="2:9" x14ac:dyDescent="0.25">
      <c r="B35" s="51" t="s">
        <v>89</v>
      </c>
      <c r="C35" s="40" t="s">
        <v>90</v>
      </c>
      <c r="D35" s="13"/>
      <c r="E35" s="13"/>
      <c r="F35" s="14">
        <f t="shared" si="8"/>
        <v>0</v>
      </c>
      <c r="G35" s="13"/>
      <c r="H35" s="13"/>
      <c r="I35" s="14">
        <f t="shared" si="9"/>
        <v>0</v>
      </c>
    </row>
    <row r="36" spans="2:9" x14ac:dyDescent="0.25">
      <c r="B36" s="51" t="s">
        <v>91</v>
      </c>
      <c r="C36" s="40" t="s">
        <v>92</v>
      </c>
      <c r="D36" s="13"/>
      <c r="E36" s="13">
        <v>390000</v>
      </c>
      <c r="F36" s="14">
        <f t="shared" si="8"/>
        <v>390000</v>
      </c>
      <c r="G36" s="13"/>
      <c r="H36" s="13">
        <v>390000</v>
      </c>
      <c r="I36" s="14">
        <f t="shared" si="9"/>
        <v>390000</v>
      </c>
    </row>
    <row r="37" spans="2:9" x14ac:dyDescent="0.25">
      <c r="B37" s="51" t="s">
        <v>93</v>
      </c>
      <c r="C37" s="40" t="s">
        <v>94</v>
      </c>
      <c r="D37" s="13"/>
      <c r="E37" s="13">
        <v>1100000</v>
      </c>
      <c r="F37" s="14">
        <f t="shared" si="8"/>
        <v>1100000</v>
      </c>
      <c r="G37" s="13"/>
      <c r="H37" s="13">
        <v>1100000</v>
      </c>
      <c r="I37" s="14">
        <f t="shared" si="9"/>
        <v>1100000</v>
      </c>
    </row>
    <row r="38" spans="2:9" x14ac:dyDescent="0.25">
      <c r="B38" s="52" t="s">
        <v>95</v>
      </c>
      <c r="C38" s="40" t="s">
        <v>96</v>
      </c>
      <c r="D38" s="13"/>
      <c r="E38" s="13"/>
      <c r="F38" s="14">
        <f t="shared" si="8"/>
        <v>0</v>
      </c>
      <c r="G38" s="13"/>
      <c r="H38" s="13"/>
      <c r="I38" s="14">
        <f t="shared" si="9"/>
        <v>0</v>
      </c>
    </row>
    <row r="39" spans="2:9" x14ac:dyDescent="0.25">
      <c r="B39" s="52" t="s">
        <v>97</v>
      </c>
      <c r="C39" s="40" t="s">
        <v>98</v>
      </c>
      <c r="D39" s="13"/>
      <c r="E39" s="13"/>
      <c r="F39" s="14">
        <f t="shared" si="8"/>
        <v>0</v>
      </c>
      <c r="G39" s="13"/>
      <c r="H39" s="13"/>
      <c r="I39" s="14">
        <f t="shared" si="9"/>
        <v>0</v>
      </c>
    </row>
    <row r="40" spans="2:9" x14ac:dyDescent="0.25">
      <c r="B40" s="52" t="s">
        <v>99</v>
      </c>
      <c r="C40" s="40" t="s">
        <v>100</v>
      </c>
      <c r="D40" s="13"/>
      <c r="E40" s="13">
        <v>402300</v>
      </c>
      <c r="F40" s="14">
        <f t="shared" si="8"/>
        <v>402300</v>
      </c>
      <c r="G40" s="13"/>
      <c r="H40" s="13">
        <v>402300</v>
      </c>
      <c r="I40" s="14">
        <f t="shared" si="9"/>
        <v>402300</v>
      </c>
    </row>
    <row r="41" spans="2:9" s="20" customFormat="1" x14ac:dyDescent="0.25">
      <c r="B41" s="53" t="s">
        <v>101</v>
      </c>
      <c r="C41" s="43" t="s">
        <v>102</v>
      </c>
      <c r="D41" s="14">
        <f t="shared" ref="D41:I41" si="10">SUM(D34:D40)</f>
        <v>0</v>
      </c>
      <c r="E41" s="14">
        <f t="shared" si="10"/>
        <v>1892300</v>
      </c>
      <c r="F41" s="14">
        <f t="shared" si="10"/>
        <v>1892300</v>
      </c>
      <c r="G41" s="14">
        <f>SUM(G34:G40)</f>
        <v>0</v>
      </c>
      <c r="H41" s="14">
        <f>SUM(H34:H40)</f>
        <v>1892300</v>
      </c>
      <c r="I41" s="14">
        <f t="shared" si="10"/>
        <v>1892300</v>
      </c>
    </row>
    <row r="42" spans="2:9" x14ac:dyDescent="0.25">
      <c r="B42" s="54" t="s">
        <v>103</v>
      </c>
      <c r="C42" s="40" t="s">
        <v>104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4" t="s">
        <v>105</v>
      </c>
      <c r="C43" s="40" t="s">
        <v>106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4" t="s">
        <v>107</v>
      </c>
      <c r="C44" s="40" t="s">
        <v>108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4" t="s">
        <v>109</v>
      </c>
      <c r="C45" s="40" t="s">
        <v>110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4" t="s">
        <v>111</v>
      </c>
      <c r="C46" s="43" t="s">
        <v>112</v>
      </c>
      <c r="D46" s="14">
        <f t="shared" ref="D46:I46" si="11">SUM(D42:D45)</f>
        <v>0</v>
      </c>
      <c r="E46" s="14">
        <f t="shared" si="11"/>
        <v>0</v>
      </c>
      <c r="F46" s="14">
        <f t="shared" si="11"/>
        <v>0</v>
      </c>
      <c r="G46" s="14">
        <f t="shared" si="11"/>
        <v>0</v>
      </c>
      <c r="H46" s="14">
        <f t="shared" si="11"/>
        <v>0</v>
      </c>
      <c r="I46" s="14">
        <f t="shared" si="11"/>
        <v>0</v>
      </c>
    </row>
    <row r="47" spans="2:9" ht="31.5" hidden="1" x14ac:dyDescent="0.25">
      <c r="B47" s="54" t="s">
        <v>589</v>
      </c>
      <c r="C47" s="40" t="s">
        <v>114</v>
      </c>
      <c r="D47" s="13"/>
      <c r="E47" s="13"/>
      <c r="F47" s="14">
        <f t="shared" ref="F47:F55" si="12">+D47+E47</f>
        <v>0</v>
      </c>
      <c r="G47" s="13"/>
      <c r="H47" s="13"/>
      <c r="I47" s="14">
        <f t="shared" ref="I47:I55" si="13">+G47+H47</f>
        <v>0</v>
      </c>
    </row>
    <row r="48" spans="2:9" ht="31.5" hidden="1" x14ac:dyDescent="0.25">
      <c r="B48" s="54" t="s">
        <v>590</v>
      </c>
      <c r="C48" s="40" t="s">
        <v>116</v>
      </c>
      <c r="D48" s="13"/>
      <c r="E48" s="13"/>
      <c r="F48" s="14">
        <f t="shared" si="12"/>
        <v>0</v>
      </c>
      <c r="G48" s="13"/>
      <c r="H48" s="13"/>
      <c r="I48" s="14">
        <f t="shared" si="13"/>
        <v>0</v>
      </c>
    </row>
    <row r="49" spans="2:9" ht="31.5" hidden="1" x14ac:dyDescent="0.25">
      <c r="B49" s="54" t="s">
        <v>117</v>
      </c>
      <c r="C49" s="40" t="s">
        <v>118</v>
      </c>
      <c r="D49" s="13"/>
      <c r="E49" s="13"/>
      <c r="F49" s="14">
        <f t="shared" si="12"/>
        <v>0</v>
      </c>
      <c r="G49" s="13"/>
      <c r="H49" s="13"/>
      <c r="I49" s="14">
        <f t="shared" si="13"/>
        <v>0</v>
      </c>
    </row>
    <row r="50" spans="2:9" hidden="1" x14ac:dyDescent="0.25">
      <c r="B50" s="54" t="s">
        <v>119</v>
      </c>
      <c r="C50" s="40" t="s">
        <v>120</v>
      </c>
      <c r="D50" s="13"/>
      <c r="E50" s="13"/>
      <c r="F50" s="14">
        <f t="shared" si="12"/>
        <v>0</v>
      </c>
      <c r="G50" s="13"/>
      <c r="H50" s="13"/>
      <c r="I50" s="14">
        <f t="shared" si="13"/>
        <v>0</v>
      </c>
    </row>
    <row r="51" spans="2:9" hidden="1" x14ac:dyDescent="0.25">
      <c r="B51" s="54" t="s">
        <v>121</v>
      </c>
      <c r="C51" s="40" t="s">
        <v>122</v>
      </c>
      <c r="D51" s="13"/>
      <c r="E51" s="13"/>
      <c r="F51" s="14">
        <f t="shared" si="12"/>
        <v>0</v>
      </c>
      <c r="G51" s="13"/>
      <c r="H51" s="13"/>
      <c r="I51" s="14">
        <f t="shared" si="13"/>
        <v>0</v>
      </c>
    </row>
    <row r="52" spans="2:9" hidden="1" x14ac:dyDescent="0.25">
      <c r="B52" s="54" t="s">
        <v>123</v>
      </c>
      <c r="C52" s="40" t="s">
        <v>124</v>
      </c>
      <c r="D52" s="13"/>
      <c r="E52" s="13"/>
      <c r="F52" s="14">
        <f t="shared" si="12"/>
        <v>0</v>
      </c>
      <c r="G52" s="13"/>
      <c r="H52" s="13"/>
      <c r="I52" s="14">
        <f t="shared" si="13"/>
        <v>0</v>
      </c>
    </row>
    <row r="53" spans="2:9" hidden="1" x14ac:dyDescent="0.25">
      <c r="B53" s="54" t="s">
        <v>125</v>
      </c>
      <c r="C53" s="40" t="s">
        <v>126</v>
      </c>
      <c r="D53" s="13"/>
      <c r="E53" s="13"/>
      <c r="F53" s="14">
        <f t="shared" si="12"/>
        <v>0</v>
      </c>
      <c r="G53" s="13"/>
      <c r="H53" s="13"/>
      <c r="I53" s="14">
        <f t="shared" si="13"/>
        <v>0</v>
      </c>
    </row>
    <row r="54" spans="2:9" hidden="1" x14ac:dyDescent="0.25">
      <c r="B54" s="47" t="s">
        <v>591</v>
      </c>
      <c r="C54" s="40" t="s">
        <v>128</v>
      </c>
      <c r="D54" s="13"/>
      <c r="E54" s="13"/>
      <c r="F54" s="14">
        <f t="shared" si="12"/>
        <v>0</v>
      </c>
      <c r="G54" s="13"/>
      <c r="H54" s="13"/>
      <c r="I54" s="14">
        <f t="shared" si="13"/>
        <v>0</v>
      </c>
    </row>
    <row r="55" spans="2:9" hidden="1" x14ac:dyDescent="0.25">
      <c r="B55" s="54" t="s">
        <v>129</v>
      </c>
      <c r="C55" s="40" t="s">
        <v>130</v>
      </c>
      <c r="D55" s="13"/>
      <c r="E55" s="13"/>
      <c r="F55" s="14">
        <f t="shared" si="12"/>
        <v>0</v>
      </c>
      <c r="G55" s="13"/>
      <c r="H55" s="13"/>
      <c r="I55" s="14">
        <f t="shared" si="13"/>
        <v>0</v>
      </c>
    </row>
    <row r="56" spans="2:9" s="20" customFormat="1" x14ac:dyDescent="0.25">
      <c r="B56" s="45" t="s">
        <v>131</v>
      </c>
      <c r="C56" s="43" t="s">
        <v>132</v>
      </c>
      <c r="D56" s="14">
        <f t="shared" ref="D56:I56" si="14">SUM(D47:D55)</f>
        <v>0</v>
      </c>
      <c r="E56" s="14">
        <f t="shared" si="14"/>
        <v>0</v>
      </c>
      <c r="F56" s="14">
        <f t="shared" si="14"/>
        <v>0</v>
      </c>
      <c r="G56" s="14">
        <f t="shared" si="14"/>
        <v>0</v>
      </c>
      <c r="H56" s="14">
        <f t="shared" si="14"/>
        <v>0</v>
      </c>
      <c r="I56" s="14">
        <f t="shared" si="14"/>
        <v>0</v>
      </c>
    </row>
    <row r="57" spans="2:9" x14ac:dyDescent="0.25">
      <c r="B57" s="48" t="s">
        <v>133</v>
      </c>
      <c r="C57" s="49" t="s">
        <v>134</v>
      </c>
      <c r="D57" s="50">
        <f t="shared" ref="D57:I57" si="15">+D56+D46+D41</f>
        <v>0</v>
      </c>
      <c r="E57" s="50">
        <f t="shared" si="15"/>
        <v>1892300</v>
      </c>
      <c r="F57" s="50">
        <f t="shared" si="15"/>
        <v>1892300</v>
      </c>
      <c r="G57" s="50">
        <f t="shared" si="15"/>
        <v>0</v>
      </c>
      <c r="H57" s="50">
        <f t="shared" si="15"/>
        <v>1892300</v>
      </c>
      <c r="I57" s="50">
        <f t="shared" si="15"/>
        <v>1892300</v>
      </c>
    </row>
    <row r="58" spans="2:9" x14ac:dyDescent="0.25">
      <c r="B58" s="55" t="s">
        <v>135</v>
      </c>
      <c r="C58" s="56" t="s">
        <v>136</v>
      </c>
      <c r="D58" s="57">
        <f t="shared" ref="D58:I58" si="16">+D56+D46+D41+D32+D17+D16+D10+D9</f>
        <v>59000000</v>
      </c>
      <c r="E58" s="57">
        <f t="shared" si="16"/>
        <v>450656000</v>
      </c>
      <c r="F58" s="57">
        <f t="shared" si="16"/>
        <v>509656000</v>
      </c>
      <c r="G58" s="57">
        <f t="shared" si="16"/>
        <v>58960000</v>
      </c>
      <c r="H58" s="57">
        <f t="shared" si="16"/>
        <v>450930068</v>
      </c>
      <c r="I58" s="57">
        <f t="shared" si="16"/>
        <v>509890068</v>
      </c>
    </row>
    <row r="59" spans="2:9" hidden="1" x14ac:dyDescent="0.25">
      <c r="B59" s="59" t="s">
        <v>572</v>
      </c>
      <c r="C59" s="41" t="s">
        <v>162</v>
      </c>
      <c r="D59" s="181"/>
      <c r="E59" s="181"/>
      <c r="F59" s="13">
        <f>+D59+E59</f>
        <v>0</v>
      </c>
      <c r="G59" s="181"/>
      <c r="H59" s="181"/>
      <c r="I59" s="13">
        <f>+G59+H59</f>
        <v>0</v>
      </c>
    </row>
    <row r="60" spans="2:9" hidden="1" x14ac:dyDescent="0.25">
      <c r="B60" s="59" t="s">
        <v>163</v>
      </c>
      <c r="C60" s="41" t="s">
        <v>164</v>
      </c>
      <c r="D60" s="181"/>
      <c r="E60" s="181"/>
      <c r="F60" s="13">
        <f>+D60+E60</f>
        <v>0</v>
      </c>
      <c r="G60" s="181"/>
      <c r="H60" s="181"/>
      <c r="I60" s="13">
        <f>+G60+H60</f>
        <v>0</v>
      </c>
    </row>
    <row r="61" spans="2:9" hidden="1" x14ac:dyDescent="0.25">
      <c r="B61" s="54" t="s">
        <v>165</v>
      </c>
      <c r="C61" s="41" t="s">
        <v>166</v>
      </c>
      <c r="D61" s="181"/>
      <c r="E61" s="181"/>
      <c r="F61" s="13">
        <f>+D61+E61</f>
        <v>0</v>
      </c>
      <c r="G61" s="181"/>
      <c r="H61" s="181"/>
      <c r="I61" s="13">
        <f>+G61+H61</f>
        <v>0</v>
      </c>
    </row>
    <row r="62" spans="2:9" hidden="1" x14ac:dyDescent="0.25">
      <c r="B62" s="54" t="s">
        <v>167</v>
      </c>
      <c r="C62" s="41" t="s">
        <v>168</v>
      </c>
      <c r="D62" s="181"/>
      <c r="E62" s="181"/>
      <c r="F62" s="13">
        <f>+D62+E62</f>
        <v>0</v>
      </c>
      <c r="G62" s="181"/>
      <c r="H62" s="181"/>
      <c r="I62" s="13">
        <f>+G62+H62</f>
        <v>0</v>
      </c>
    </row>
    <row r="63" spans="2:9" x14ac:dyDescent="0.25">
      <c r="B63" s="62" t="s">
        <v>169</v>
      </c>
      <c r="C63" s="63" t="s">
        <v>170</v>
      </c>
      <c r="D63" s="64">
        <f t="shared" ref="D63:I63" si="17">+D61+D60+D59+D62</f>
        <v>0</v>
      </c>
      <c r="E63" s="64">
        <f t="shared" si="17"/>
        <v>0</v>
      </c>
      <c r="F63" s="64">
        <f t="shared" si="17"/>
        <v>0</v>
      </c>
      <c r="G63" s="64">
        <f t="shared" si="17"/>
        <v>0</v>
      </c>
      <c r="H63" s="64">
        <f t="shared" si="17"/>
        <v>0</v>
      </c>
      <c r="I63" s="64">
        <f t="shared" si="17"/>
        <v>0</v>
      </c>
    </row>
    <row r="64" spans="2:9" x14ac:dyDescent="0.25">
      <c r="B64" s="17" t="s">
        <v>171</v>
      </c>
      <c r="C64" s="17" t="s">
        <v>172</v>
      </c>
      <c r="D64" s="18">
        <f t="shared" ref="D64:I64" si="18">+D58+D63</f>
        <v>59000000</v>
      </c>
      <c r="E64" s="18">
        <f t="shared" si="18"/>
        <v>450656000</v>
      </c>
      <c r="F64" s="18">
        <f t="shared" si="18"/>
        <v>509656000</v>
      </c>
      <c r="G64" s="18">
        <f t="shared" si="18"/>
        <v>58960000</v>
      </c>
      <c r="H64" s="18">
        <f t="shared" si="18"/>
        <v>450930068</v>
      </c>
      <c r="I64" s="18">
        <f t="shared" si="18"/>
        <v>509890068</v>
      </c>
    </row>
    <row r="65" spans="2:9" x14ac:dyDescent="0.25">
      <c r="B65" s="2"/>
      <c r="C65" s="2"/>
      <c r="D65" s="3"/>
      <c r="E65" s="3"/>
      <c r="F65" s="65"/>
      <c r="G65" s="3"/>
      <c r="H65" s="3"/>
      <c r="I65" s="65"/>
    </row>
    <row r="66" spans="2:9" ht="15.75" hidden="1" customHeight="1" x14ac:dyDescent="0.25">
      <c r="B66" s="2"/>
      <c r="C66" s="2"/>
      <c r="D66" s="583" t="s">
        <v>7</v>
      </c>
      <c r="E66" s="583"/>
      <c r="F66" s="583"/>
      <c r="G66" s="583" t="s">
        <v>7</v>
      </c>
      <c r="H66" s="583"/>
      <c r="I66" s="583"/>
    </row>
    <row r="67" spans="2:9" ht="31.5" x14ac:dyDescent="0.25">
      <c r="B67" s="8" t="s">
        <v>8</v>
      </c>
      <c r="C67" s="35" t="s">
        <v>173</v>
      </c>
      <c r="D67" s="36" t="s">
        <v>9</v>
      </c>
      <c r="E67" s="36" t="s">
        <v>10</v>
      </c>
      <c r="F67" s="35" t="s">
        <v>515</v>
      </c>
      <c r="G67" s="36" t="s">
        <v>9</v>
      </c>
      <c r="H67" s="36" t="s">
        <v>10</v>
      </c>
      <c r="I67" s="35" t="s">
        <v>515</v>
      </c>
    </row>
    <row r="68" spans="2:9" hidden="1" x14ac:dyDescent="0.25">
      <c r="B68" s="44" t="s">
        <v>573</v>
      </c>
      <c r="C68" s="53" t="s">
        <v>187</v>
      </c>
      <c r="D68" s="14"/>
      <c r="E68" s="14"/>
      <c r="F68" s="14">
        <f t="shared" ref="F68:F73" si="19">+E68+D68</f>
        <v>0</v>
      </c>
      <c r="G68" s="14"/>
      <c r="H68" s="14"/>
      <c r="I68" s="14">
        <f t="shared" ref="I68:I73" si="20">+H68+G68</f>
        <v>0</v>
      </c>
    </row>
    <row r="69" spans="2:9" hidden="1" x14ac:dyDescent="0.25">
      <c r="B69" s="41" t="s">
        <v>188</v>
      </c>
      <c r="C69" s="52" t="s">
        <v>189</v>
      </c>
      <c r="D69" s="14"/>
      <c r="E69" s="14"/>
      <c r="F69" s="14">
        <f t="shared" si="19"/>
        <v>0</v>
      </c>
      <c r="G69" s="14"/>
      <c r="H69" s="14"/>
      <c r="I69" s="14">
        <f t="shared" si="20"/>
        <v>0</v>
      </c>
    </row>
    <row r="70" spans="2:9" ht="31.5" hidden="1" x14ac:dyDescent="0.25">
      <c r="B70" s="41" t="s">
        <v>574</v>
      </c>
      <c r="C70" s="52" t="s">
        <v>191</v>
      </c>
      <c r="D70" s="14"/>
      <c r="E70" s="14"/>
      <c r="F70" s="14">
        <f t="shared" si="19"/>
        <v>0</v>
      </c>
      <c r="G70" s="14"/>
      <c r="H70" s="14"/>
      <c r="I70" s="14">
        <f t="shared" si="20"/>
        <v>0</v>
      </c>
    </row>
    <row r="71" spans="2:9" ht="31.5" hidden="1" x14ac:dyDescent="0.25">
      <c r="B71" s="41" t="s">
        <v>192</v>
      </c>
      <c r="C71" s="52" t="s">
        <v>193</v>
      </c>
      <c r="D71" s="14"/>
      <c r="E71" s="14"/>
      <c r="F71" s="14">
        <f t="shared" si="19"/>
        <v>0</v>
      </c>
      <c r="G71" s="14"/>
      <c r="H71" s="14"/>
      <c r="I71" s="14">
        <f t="shared" si="20"/>
        <v>0</v>
      </c>
    </row>
    <row r="72" spans="2:9" ht="31.5" hidden="1" x14ac:dyDescent="0.25">
      <c r="B72" s="41" t="s">
        <v>194</v>
      </c>
      <c r="C72" s="52" t="s">
        <v>195</v>
      </c>
      <c r="D72" s="14"/>
      <c r="E72" s="14"/>
      <c r="F72" s="14">
        <f t="shared" si="19"/>
        <v>0</v>
      </c>
      <c r="G72" s="14"/>
      <c r="H72" s="14"/>
      <c r="I72" s="14">
        <f t="shared" si="20"/>
        <v>0</v>
      </c>
    </row>
    <row r="73" spans="2:9" x14ac:dyDescent="0.25">
      <c r="B73" s="41" t="s">
        <v>196</v>
      </c>
      <c r="C73" s="52" t="s">
        <v>197</v>
      </c>
      <c r="D73" s="13">
        <v>59000000</v>
      </c>
      <c r="E73" s="13">
        <v>418000000</v>
      </c>
      <c r="F73" s="14">
        <f t="shared" si="19"/>
        <v>477000000</v>
      </c>
      <c r="G73" s="13">
        <v>59000000</v>
      </c>
      <c r="H73" s="13">
        <v>418000000</v>
      </c>
      <c r="I73" s="14">
        <f t="shared" si="20"/>
        <v>477000000</v>
      </c>
    </row>
    <row r="74" spans="2:9" x14ac:dyDescent="0.25">
      <c r="B74" s="44" t="s">
        <v>198</v>
      </c>
      <c r="C74" s="53" t="s">
        <v>199</v>
      </c>
      <c r="D74" s="14">
        <f t="shared" ref="D74:I74" si="21">+D73+D72+D71+D70+D69+D68</f>
        <v>59000000</v>
      </c>
      <c r="E74" s="14">
        <f t="shared" si="21"/>
        <v>418000000</v>
      </c>
      <c r="F74" s="14">
        <f t="shared" si="21"/>
        <v>477000000</v>
      </c>
      <c r="G74" s="14">
        <f>+G73+G72+G71+G70+G69+G68</f>
        <v>59000000</v>
      </c>
      <c r="H74" s="14">
        <f>+H73+H72+H71+H70+H69+H68</f>
        <v>418000000</v>
      </c>
      <c r="I74" s="14">
        <f t="shared" si="21"/>
        <v>477000000</v>
      </c>
    </row>
    <row r="75" spans="2:9" x14ac:dyDescent="0.25">
      <c r="B75" s="44" t="s">
        <v>200</v>
      </c>
      <c r="C75" s="53" t="s">
        <v>201</v>
      </c>
      <c r="D75" s="13"/>
      <c r="E75" s="13"/>
      <c r="F75" s="14">
        <f t="shared" ref="F75:F81" si="22">+E75+D75</f>
        <v>0</v>
      </c>
      <c r="G75" s="13"/>
      <c r="H75" s="13"/>
      <c r="I75" s="14">
        <f t="shared" ref="I75:I81" si="23">+H75+G75</f>
        <v>0</v>
      </c>
    </row>
    <row r="76" spans="2:9" hidden="1" x14ac:dyDescent="0.25">
      <c r="B76" s="41" t="s">
        <v>202</v>
      </c>
      <c r="C76" s="52" t="s">
        <v>203</v>
      </c>
      <c r="D76" s="13"/>
      <c r="E76" s="13"/>
      <c r="F76" s="14">
        <f t="shared" si="22"/>
        <v>0</v>
      </c>
      <c r="G76" s="13"/>
      <c r="H76" s="13"/>
      <c r="I76" s="14">
        <f t="shared" si="23"/>
        <v>0</v>
      </c>
    </row>
    <row r="77" spans="2:9" hidden="1" x14ac:dyDescent="0.25">
      <c r="B77" s="41" t="s">
        <v>204</v>
      </c>
      <c r="C77" s="52" t="s">
        <v>205</v>
      </c>
      <c r="D77" s="13"/>
      <c r="E77" s="13"/>
      <c r="F77" s="14">
        <f t="shared" si="22"/>
        <v>0</v>
      </c>
      <c r="G77" s="13"/>
      <c r="H77" s="13"/>
      <c r="I77" s="14">
        <f t="shared" si="23"/>
        <v>0</v>
      </c>
    </row>
    <row r="78" spans="2:9" hidden="1" x14ac:dyDescent="0.25">
      <c r="B78" s="41" t="s">
        <v>206</v>
      </c>
      <c r="C78" s="52" t="s">
        <v>207</v>
      </c>
      <c r="D78" s="13"/>
      <c r="E78" s="13"/>
      <c r="F78" s="14">
        <f t="shared" si="22"/>
        <v>0</v>
      </c>
      <c r="G78" s="13"/>
      <c r="H78" s="13"/>
      <c r="I78" s="14">
        <f t="shared" si="23"/>
        <v>0</v>
      </c>
    </row>
    <row r="79" spans="2:9" hidden="1" x14ac:dyDescent="0.25">
      <c r="B79" s="41" t="s">
        <v>208</v>
      </c>
      <c r="C79" s="52" t="s">
        <v>209</v>
      </c>
      <c r="D79" s="13"/>
      <c r="E79" s="13"/>
      <c r="F79" s="14">
        <f t="shared" si="22"/>
        <v>0</v>
      </c>
      <c r="G79" s="13"/>
      <c r="H79" s="13"/>
      <c r="I79" s="14">
        <f t="shared" si="23"/>
        <v>0</v>
      </c>
    </row>
    <row r="80" spans="2:9" hidden="1" x14ac:dyDescent="0.25">
      <c r="B80" s="41" t="s">
        <v>210</v>
      </c>
      <c r="C80" s="52" t="s">
        <v>211</v>
      </c>
      <c r="D80" s="13"/>
      <c r="E80" s="13"/>
      <c r="F80" s="14">
        <f t="shared" si="22"/>
        <v>0</v>
      </c>
      <c r="G80" s="13"/>
      <c r="H80" s="13"/>
      <c r="I80" s="14">
        <f t="shared" si="23"/>
        <v>0</v>
      </c>
    </row>
    <row r="81" spans="2:9" hidden="1" x14ac:dyDescent="0.25">
      <c r="B81" s="41" t="s">
        <v>212</v>
      </c>
      <c r="C81" s="52" t="s">
        <v>213</v>
      </c>
      <c r="D81" s="13"/>
      <c r="E81" s="13"/>
      <c r="F81" s="14">
        <f t="shared" si="22"/>
        <v>0</v>
      </c>
      <c r="G81" s="13"/>
      <c r="H81" s="13"/>
      <c r="I81" s="14">
        <f t="shared" si="23"/>
        <v>0</v>
      </c>
    </row>
    <row r="82" spans="2:9" x14ac:dyDescent="0.25">
      <c r="B82" s="44" t="s">
        <v>214</v>
      </c>
      <c r="C82" s="53" t="s">
        <v>215</v>
      </c>
      <c r="D82" s="14">
        <f t="shared" ref="D82:I82" si="24">SUM(D76:D81)</f>
        <v>0</v>
      </c>
      <c r="E82" s="14">
        <f t="shared" si="24"/>
        <v>0</v>
      </c>
      <c r="F82" s="14">
        <f t="shared" si="24"/>
        <v>0</v>
      </c>
      <c r="G82" s="14">
        <f>SUM(G76:G81)</f>
        <v>0</v>
      </c>
      <c r="H82" s="14">
        <f>SUM(H76:H81)</f>
        <v>0</v>
      </c>
      <c r="I82" s="14">
        <f t="shared" si="24"/>
        <v>0</v>
      </c>
    </row>
    <row r="83" spans="2:9" x14ac:dyDescent="0.25">
      <c r="B83" s="54" t="s">
        <v>577</v>
      </c>
      <c r="C83" s="52" t="s">
        <v>217</v>
      </c>
      <c r="D83" s="13"/>
      <c r="E83" s="13">
        <v>160000</v>
      </c>
      <c r="F83" s="14">
        <f t="shared" ref="F83:F93" si="25">+E83+D83</f>
        <v>160000</v>
      </c>
      <c r="G83" s="13"/>
      <c r="H83" s="13">
        <v>160000</v>
      </c>
      <c r="I83" s="14">
        <f t="shared" ref="I83:I93" si="26">+H83+G83</f>
        <v>160000</v>
      </c>
    </row>
    <row r="84" spans="2:9" x14ac:dyDescent="0.25">
      <c r="B84" s="54" t="s">
        <v>218</v>
      </c>
      <c r="C84" s="52" t="s">
        <v>219</v>
      </c>
      <c r="D84" s="13"/>
      <c r="E84" s="13">
        <v>25295000</v>
      </c>
      <c r="F84" s="14">
        <f t="shared" si="25"/>
        <v>25295000</v>
      </c>
      <c r="G84" s="13"/>
      <c r="H84" s="13">
        <v>25295000</v>
      </c>
      <c r="I84" s="14">
        <f t="shared" si="26"/>
        <v>25295000</v>
      </c>
    </row>
    <row r="85" spans="2:9" x14ac:dyDescent="0.25">
      <c r="B85" s="54" t="s">
        <v>220</v>
      </c>
      <c r="C85" s="52" t="s">
        <v>221</v>
      </c>
      <c r="D85" s="13"/>
      <c r="E85" s="13">
        <v>200000</v>
      </c>
      <c r="F85" s="14">
        <f t="shared" si="25"/>
        <v>200000</v>
      </c>
      <c r="G85" s="13"/>
      <c r="H85" s="13">
        <v>200000</v>
      </c>
      <c r="I85" s="14">
        <f t="shared" si="26"/>
        <v>200000</v>
      </c>
    </row>
    <row r="86" spans="2:9" x14ac:dyDescent="0.25">
      <c r="B86" s="54" t="s">
        <v>222</v>
      </c>
      <c r="C86" s="52" t="s">
        <v>223</v>
      </c>
      <c r="D86" s="13"/>
      <c r="E86" s="13"/>
      <c r="F86" s="14">
        <f t="shared" si="25"/>
        <v>0</v>
      </c>
      <c r="G86" s="13"/>
      <c r="H86" s="13"/>
      <c r="I86" s="14">
        <f t="shared" si="26"/>
        <v>0</v>
      </c>
    </row>
    <row r="87" spans="2:9" x14ac:dyDescent="0.25">
      <c r="B87" s="54" t="s">
        <v>224</v>
      </c>
      <c r="C87" s="52" t="s">
        <v>225</v>
      </c>
      <c r="D87" s="13"/>
      <c r="E87" s="13"/>
      <c r="F87" s="14">
        <f t="shared" si="25"/>
        <v>0</v>
      </c>
      <c r="G87" s="13"/>
      <c r="H87" s="13"/>
      <c r="I87" s="14">
        <f t="shared" si="26"/>
        <v>0</v>
      </c>
    </row>
    <row r="88" spans="2:9" x14ac:dyDescent="0.25">
      <c r="B88" s="54" t="s">
        <v>226</v>
      </c>
      <c r="C88" s="52" t="s">
        <v>227</v>
      </c>
      <c r="D88" s="13"/>
      <c r="E88" s="13"/>
      <c r="F88" s="14">
        <f t="shared" si="25"/>
        <v>0</v>
      </c>
      <c r="G88" s="13"/>
      <c r="H88" s="13"/>
      <c r="I88" s="14">
        <f t="shared" si="26"/>
        <v>0</v>
      </c>
    </row>
    <row r="89" spans="2:9" x14ac:dyDescent="0.25">
      <c r="B89" s="54" t="s">
        <v>228</v>
      </c>
      <c r="C89" s="52" t="s">
        <v>229</v>
      </c>
      <c r="D89" s="13"/>
      <c r="E89" s="13"/>
      <c r="F89" s="14">
        <f t="shared" si="25"/>
        <v>0</v>
      </c>
      <c r="G89" s="13"/>
      <c r="H89" s="13"/>
      <c r="I89" s="14">
        <f t="shared" si="26"/>
        <v>0</v>
      </c>
    </row>
    <row r="90" spans="2:9" x14ac:dyDescent="0.25">
      <c r="B90" s="54" t="s">
        <v>230</v>
      </c>
      <c r="C90" s="52" t="s">
        <v>231</v>
      </c>
      <c r="D90" s="13"/>
      <c r="E90" s="13">
        <v>1000</v>
      </c>
      <c r="F90" s="14">
        <f t="shared" si="25"/>
        <v>1000</v>
      </c>
      <c r="G90" s="13"/>
      <c r="H90" s="13">
        <v>999</v>
      </c>
      <c r="I90" s="14">
        <f t="shared" si="26"/>
        <v>999</v>
      </c>
    </row>
    <row r="91" spans="2:9" x14ac:dyDescent="0.25">
      <c r="B91" s="54" t="s">
        <v>232</v>
      </c>
      <c r="C91" s="52" t="s">
        <v>233</v>
      </c>
      <c r="D91" s="13"/>
      <c r="E91" s="13"/>
      <c r="F91" s="14">
        <f t="shared" si="25"/>
        <v>0</v>
      </c>
      <c r="G91" s="13"/>
      <c r="H91" s="13"/>
      <c r="I91" s="14">
        <f t="shared" si="26"/>
        <v>0</v>
      </c>
    </row>
    <row r="92" spans="2:9" x14ac:dyDescent="0.25">
      <c r="B92" s="54" t="s">
        <v>234</v>
      </c>
      <c r="C92" s="52" t="s">
        <v>235</v>
      </c>
      <c r="D92" s="13"/>
      <c r="E92" s="13"/>
      <c r="F92" s="14">
        <f t="shared" si="25"/>
        <v>0</v>
      </c>
      <c r="G92" s="13"/>
      <c r="H92" s="13"/>
      <c r="I92" s="14">
        <f t="shared" si="26"/>
        <v>0</v>
      </c>
    </row>
    <row r="93" spans="2:9" x14ac:dyDescent="0.25">
      <c r="B93" s="54" t="s">
        <v>236</v>
      </c>
      <c r="C93" s="52" t="s">
        <v>237</v>
      </c>
      <c r="D93" s="13"/>
      <c r="E93" s="13"/>
      <c r="F93" s="14">
        <f t="shared" si="25"/>
        <v>0</v>
      </c>
      <c r="G93" s="13"/>
      <c r="H93" s="13">
        <v>1</v>
      </c>
      <c r="I93" s="14">
        <f t="shared" si="26"/>
        <v>1</v>
      </c>
    </row>
    <row r="94" spans="2:9" x14ac:dyDescent="0.25">
      <c r="B94" s="45" t="s">
        <v>238</v>
      </c>
      <c r="C94" s="53" t="s">
        <v>239</v>
      </c>
      <c r="D94" s="14">
        <f t="shared" ref="D94:I94" si="27">SUM(D83:D93)</f>
        <v>0</v>
      </c>
      <c r="E94" s="14">
        <f t="shared" si="27"/>
        <v>25656000</v>
      </c>
      <c r="F94" s="14">
        <f t="shared" si="27"/>
        <v>25656000</v>
      </c>
      <c r="G94" s="14">
        <f t="shared" si="27"/>
        <v>0</v>
      </c>
      <c r="H94" s="14">
        <f t="shared" si="27"/>
        <v>25656000</v>
      </c>
      <c r="I94" s="14">
        <f t="shared" si="27"/>
        <v>25656000</v>
      </c>
    </row>
    <row r="95" spans="2:9" x14ac:dyDescent="0.25">
      <c r="B95" s="54" t="s">
        <v>240</v>
      </c>
      <c r="C95" s="52" t="s">
        <v>241</v>
      </c>
      <c r="D95" s="13"/>
      <c r="E95" s="13"/>
      <c r="F95" s="14">
        <f>+E95+D95</f>
        <v>0</v>
      </c>
      <c r="G95" s="13"/>
      <c r="H95" s="13"/>
      <c r="I95" s="14">
        <f>+H95+G95</f>
        <v>0</v>
      </c>
    </row>
    <row r="96" spans="2:9" x14ac:dyDescent="0.25">
      <c r="B96" s="54" t="s">
        <v>242</v>
      </c>
      <c r="C96" s="52" t="s">
        <v>243</v>
      </c>
      <c r="D96" s="13"/>
      <c r="E96" s="13"/>
      <c r="F96" s="14">
        <f>+E96+D96</f>
        <v>0</v>
      </c>
      <c r="G96" s="13"/>
      <c r="H96" s="13"/>
      <c r="I96" s="14">
        <f>+H96+G96</f>
        <v>0</v>
      </c>
    </row>
    <row r="97" spans="2:9" x14ac:dyDescent="0.25">
      <c r="B97" s="54" t="s">
        <v>244</v>
      </c>
      <c r="C97" s="52" t="s">
        <v>245</v>
      </c>
      <c r="D97" s="13"/>
      <c r="E97" s="13"/>
      <c r="F97" s="14">
        <f>+E97+D97</f>
        <v>0</v>
      </c>
      <c r="G97" s="13"/>
      <c r="H97" s="13"/>
      <c r="I97" s="14">
        <f>+H97+G97</f>
        <v>0</v>
      </c>
    </row>
    <row r="98" spans="2:9" x14ac:dyDescent="0.25">
      <c r="B98" s="54" t="s">
        <v>246</v>
      </c>
      <c r="C98" s="52" t="s">
        <v>247</v>
      </c>
      <c r="D98" s="13"/>
      <c r="E98" s="13"/>
      <c r="F98" s="14">
        <f>+E98+D98</f>
        <v>0</v>
      </c>
      <c r="G98" s="13"/>
      <c r="H98" s="13"/>
      <c r="I98" s="14">
        <f>+H98+G98</f>
        <v>0</v>
      </c>
    </row>
    <row r="99" spans="2:9" x14ac:dyDescent="0.25">
      <c r="B99" s="54" t="s">
        <v>248</v>
      </c>
      <c r="C99" s="52" t="s">
        <v>249</v>
      </c>
      <c r="D99" s="13"/>
      <c r="E99" s="13"/>
      <c r="F99" s="14">
        <f>+E99+D99</f>
        <v>0</v>
      </c>
      <c r="G99" s="13"/>
      <c r="H99" s="13"/>
      <c r="I99" s="14">
        <f>+H99+G99</f>
        <v>0</v>
      </c>
    </row>
    <row r="100" spans="2:9" x14ac:dyDescent="0.25">
      <c r="B100" s="44" t="s">
        <v>250</v>
      </c>
      <c r="C100" s="53" t="s">
        <v>251</v>
      </c>
      <c r="D100" s="14">
        <f t="shared" ref="D100:I100" si="28">SUM(D95:D99)</f>
        <v>0</v>
      </c>
      <c r="E100" s="14">
        <f t="shared" si="28"/>
        <v>0</v>
      </c>
      <c r="F100" s="14">
        <f t="shared" si="28"/>
        <v>0</v>
      </c>
      <c r="G100" s="14">
        <f t="shared" si="28"/>
        <v>0</v>
      </c>
      <c r="H100" s="14">
        <f t="shared" si="28"/>
        <v>0</v>
      </c>
      <c r="I100" s="14">
        <f t="shared" si="28"/>
        <v>0</v>
      </c>
    </row>
    <row r="101" spans="2:9" x14ac:dyDescent="0.25">
      <c r="B101" s="44" t="s">
        <v>252</v>
      </c>
      <c r="C101" s="53" t="s">
        <v>253</v>
      </c>
      <c r="D101" s="13"/>
      <c r="E101" s="13"/>
      <c r="F101" s="14">
        <f>+E101+D101</f>
        <v>0</v>
      </c>
      <c r="G101" s="13"/>
      <c r="H101" s="13"/>
      <c r="I101" s="14">
        <f>+H101+G101</f>
        <v>0</v>
      </c>
    </row>
    <row r="102" spans="2:9" ht="31.5" hidden="1" x14ac:dyDescent="0.25">
      <c r="B102" s="54" t="s">
        <v>254</v>
      </c>
      <c r="C102" s="52" t="s">
        <v>255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</row>
    <row r="103" spans="2:9" ht="31.5" hidden="1" x14ac:dyDescent="0.25">
      <c r="B103" s="41" t="s">
        <v>256</v>
      </c>
      <c r="C103" s="52" t="s">
        <v>257</v>
      </c>
      <c r="D103" s="13"/>
      <c r="E103" s="13"/>
      <c r="F103" s="14"/>
      <c r="G103" s="13"/>
      <c r="H103" s="13"/>
      <c r="I103" s="14"/>
    </row>
    <row r="104" spans="2:9" ht="31.5" hidden="1" x14ac:dyDescent="0.25">
      <c r="B104" s="54" t="s">
        <v>258</v>
      </c>
      <c r="C104" s="52" t="s">
        <v>259</v>
      </c>
      <c r="D104" s="13"/>
      <c r="E104" s="13"/>
      <c r="F104" s="14"/>
      <c r="G104" s="13"/>
      <c r="H104" s="13"/>
      <c r="I104" s="14"/>
    </row>
    <row r="105" spans="2:9" ht="31.5" hidden="1" x14ac:dyDescent="0.25">
      <c r="B105" s="54" t="s">
        <v>260</v>
      </c>
      <c r="C105" s="52" t="s">
        <v>261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</row>
    <row r="106" spans="2:9" x14ac:dyDescent="0.25">
      <c r="B106" s="54" t="s">
        <v>262</v>
      </c>
      <c r="C106" s="52" t="s">
        <v>263</v>
      </c>
      <c r="D106" s="13"/>
      <c r="E106" s="13"/>
      <c r="F106" s="14">
        <f>+E106+D106</f>
        <v>0</v>
      </c>
      <c r="G106" s="13"/>
      <c r="H106" s="13"/>
      <c r="I106" s="14">
        <f>+H106+G106</f>
        <v>0</v>
      </c>
    </row>
    <row r="107" spans="2:9" x14ac:dyDescent="0.25">
      <c r="B107" s="44" t="s">
        <v>264</v>
      </c>
      <c r="C107" s="53" t="s">
        <v>265</v>
      </c>
      <c r="D107" s="14">
        <f t="shared" ref="D107:I107" si="29">SUM(D102:D106)</f>
        <v>0</v>
      </c>
      <c r="E107" s="14">
        <f t="shared" si="29"/>
        <v>0</v>
      </c>
      <c r="F107" s="14">
        <f t="shared" si="29"/>
        <v>0</v>
      </c>
      <c r="G107" s="14">
        <f t="shared" si="29"/>
        <v>0</v>
      </c>
      <c r="H107" s="14">
        <f t="shared" si="29"/>
        <v>0</v>
      </c>
      <c r="I107" s="14">
        <f t="shared" si="29"/>
        <v>0</v>
      </c>
    </row>
    <row r="108" spans="2:9" x14ac:dyDescent="0.25">
      <c r="B108" s="66" t="s">
        <v>266</v>
      </c>
      <c r="C108" s="55" t="s">
        <v>267</v>
      </c>
      <c r="D108" s="57">
        <f t="shared" ref="D108:I108" si="30">+D107+D101+D100+D94+D82+D75+D74</f>
        <v>59000000</v>
      </c>
      <c r="E108" s="57">
        <f t="shared" si="30"/>
        <v>443656000</v>
      </c>
      <c r="F108" s="57">
        <f t="shared" si="30"/>
        <v>502656000</v>
      </c>
      <c r="G108" s="57">
        <f t="shared" si="30"/>
        <v>59000000</v>
      </c>
      <c r="H108" s="57">
        <f t="shared" si="30"/>
        <v>443656000</v>
      </c>
      <c r="I108" s="57">
        <f t="shared" si="30"/>
        <v>502656000</v>
      </c>
    </row>
    <row r="109" spans="2:9" x14ac:dyDescent="0.25">
      <c r="B109" s="67" t="s">
        <v>268</v>
      </c>
      <c r="C109" s="68"/>
      <c r="D109" s="69">
        <f>+D101+D94+D82+D74-D33</f>
        <v>0</v>
      </c>
      <c r="E109" s="69">
        <f>+E101+E94+E82+E74-E33</f>
        <v>-5107700</v>
      </c>
      <c r="F109" s="69">
        <f t="shared" ref="F109:F116" si="31">+E109+D109</f>
        <v>-5107700</v>
      </c>
      <c r="G109" s="69">
        <f>+G101+G94+G82+G74-G33</f>
        <v>40000</v>
      </c>
      <c r="H109" s="69">
        <f>+H101+H94+H82+H74-H33</f>
        <v>-5381768</v>
      </c>
      <c r="I109" s="69">
        <f t="shared" ref="I109:I116" si="32">+H109+G109</f>
        <v>-5341768</v>
      </c>
    </row>
    <row r="110" spans="2:9" x14ac:dyDescent="0.25">
      <c r="B110" s="67" t="s">
        <v>269</v>
      </c>
      <c r="C110" s="68"/>
      <c r="D110" s="69">
        <f>+D107+D100+D75-D57</f>
        <v>0</v>
      </c>
      <c r="E110" s="69">
        <f>+E107+E100+E75-E57</f>
        <v>-1892300</v>
      </c>
      <c r="F110" s="69">
        <f t="shared" si="31"/>
        <v>-1892300</v>
      </c>
      <c r="G110" s="69">
        <f>+G107+G100+G75-G57</f>
        <v>0</v>
      </c>
      <c r="H110" s="69">
        <f>+H107+H100+H75-H57</f>
        <v>-1892300</v>
      </c>
      <c r="I110" s="69">
        <f t="shared" si="32"/>
        <v>-1892300</v>
      </c>
    </row>
    <row r="111" spans="2:9" hidden="1" x14ac:dyDescent="0.25">
      <c r="B111" s="45" t="s">
        <v>581</v>
      </c>
      <c r="C111" s="44" t="s">
        <v>277</v>
      </c>
      <c r="D111" s="13"/>
      <c r="E111" s="13"/>
      <c r="F111" s="14">
        <f t="shared" si="31"/>
        <v>0</v>
      </c>
      <c r="G111" s="13"/>
      <c r="H111" s="13"/>
      <c r="I111" s="14">
        <f t="shared" si="32"/>
        <v>0</v>
      </c>
    </row>
    <row r="112" spans="2:9" hidden="1" x14ac:dyDescent="0.25">
      <c r="B112" s="61" t="s">
        <v>582</v>
      </c>
      <c r="C112" s="44" t="s">
        <v>287</v>
      </c>
      <c r="D112" s="13"/>
      <c r="E112" s="13"/>
      <c r="F112" s="14">
        <f t="shared" si="31"/>
        <v>0</v>
      </c>
      <c r="G112" s="13"/>
      <c r="H112" s="13"/>
      <c r="I112" s="14">
        <f t="shared" si="32"/>
        <v>0</v>
      </c>
    </row>
    <row r="113" spans="1:9" x14ac:dyDescent="0.25">
      <c r="B113" s="41" t="s">
        <v>288</v>
      </c>
      <c r="C113" s="41" t="s">
        <v>289</v>
      </c>
      <c r="D113" s="13"/>
      <c r="E113" s="13"/>
      <c r="F113" s="14">
        <f t="shared" si="31"/>
        <v>0</v>
      </c>
      <c r="G113" s="13"/>
      <c r="H113" s="13"/>
      <c r="I113" s="14">
        <f t="shared" si="32"/>
        <v>0</v>
      </c>
    </row>
    <row r="114" spans="1:9" ht="31.5" x14ac:dyDescent="0.25">
      <c r="A114" s="2" t="s">
        <v>325</v>
      </c>
      <c r="B114" s="41" t="s">
        <v>290</v>
      </c>
      <c r="C114" s="41" t="s">
        <v>289</v>
      </c>
      <c r="D114" s="13"/>
      <c r="E114" s="13"/>
      <c r="F114" s="14">
        <f t="shared" si="31"/>
        <v>0</v>
      </c>
      <c r="G114" s="13"/>
      <c r="H114" s="13"/>
      <c r="I114" s="14">
        <f t="shared" si="32"/>
        <v>0</v>
      </c>
    </row>
    <row r="115" spans="1:9" hidden="1" x14ac:dyDescent="0.25">
      <c r="B115" s="41" t="s">
        <v>291</v>
      </c>
      <c r="C115" s="41" t="s">
        <v>292</v>
      </c>
      <c r="D115" s="13"/>
      <c r="E115" s="13"/>
      <c r="F115" s="14">
        <f t="shared" si="31"/>
        <v>0</v>
      </c>
      <c r="G115" s="13"/>
      <c r="H115" s="13"/>
      <c r="I115" s="14">
        <f t="shared" si="32"/>
        <v>0</v>
      </c>
    </row>
    <row r="116" spans="1:9" ht="31.5" hidden="1" x14ac:dyDescent="0.25">
      <c r="A116"/>
      <c r="B116" s="41" t="s">
        <v>293</v>
      </c>
      <c r="C116" s="41" t="s">
        <v>292</v>
      </c>
      <c r="D116" s="13"/>
      <c r="E116" s="13"/>
      <c r="F116" s="14">
        <f t="shared" si="31"/>
        <v>0</v>
      </c>
      <c r="G116" s="13"/>
      <c r="H116" s="13"/>
      <c r="I116" s="14">
        <f t="shared" si="32"/>
        <v>0</v>
      </c>
    </row>
    <row r="117" spans="1:9" x14ac:dyDescent="0.25">
      <c r="A117" s="2" t="s">
        <v>592</v>
      </c>
      <c r="B117" s="44" t="s">
        <v>294</v>
      </c>
      <c r="C117" s="44" t="s">
        <v>295</v>
      </c>
      <c r="D117" s="14">
        <f t="shared" ref="D117:I117" si="33">SUM(D113:D116)</f>
        <v>0</v>
      </c>
      <c r="E117" s="14">
        <f t="shared" si="33"/>
        <v>0</v>
      </c>
      <c r="F117" s="14">
        <f t="shared" si="33"/>
        <v>0</v>
      </c>
      <c r="G117" s="14">
        <f t="shared" si="33"/>
        <v>0</v>
      </c>
      <c r="H117" s="14">
        <f t="shared" si="33"/>
        <v>0</v>
      </c>
      <c r="I117" s="14">
        <f t="shared" si="33"/>
        <v>0</v>
      </c>
    </row>
    <row r="118" spans="1:9" hidden="1" x14ac:dyDescent="0.25">
      <c r="A118"/>
      <c r="B118" s="59" t="s">
        <v>296</v>
      </c>
      <c r="C118" s="41" t="s">
        <v>297</v>
      </c>
      <c r="D118" s="13"/>
      <c r="E118" s="13"/>
      <c r="F118" s="14">
        <f t="shared" ref="F118:F125" si="34">+E118+D118</f>
        <v>0</v>
      </c>
      <c r="G118" s="13"/>
      <c r="H118" s="13"/>
      <c r="I118" s="14">
        <f t="shared" ref="I118:I125" si="35">+H118+G118</f>
        <v>0</v>
      </c>
    </row>
    <row r="119" spans="1:9" hidden="1" x14ac:dyDescent="0.25">
      <c r="B119" s="59" t="s">
        <v>298</v>
      </c>
      <c r="C119" s="41" t="s">
        <v>299</v>
      </c>
      <c r="D119" s="13"/>
      <c r="E119" s="13"/>
      <c r="F119" s="14">
        <f t="shared" si="34"/>
        <v>0</v>
      </c>
      <c r="G119" s="13"/>
      <c r="H119" s="13"/>
      <c r="I119" s="14">
        <f t="shared" si="35"/>
        <v>0</v>
      </c>
    </row>
    <row r="120" spans="1:9" x14ac:dyDescent="0.25">
      <c r="A120" s="19" t="s">
        <v>597</v>
      </c>
      <c r="B120" s="59" t="s">
        <v>300</v>
      </c>
      <c r="C120" s="41" t="s">
        <v>301</v>
      </c>
      <c r="D120" s="13">
        <v>0</v>
      </c>
      <c r="E120" s="13">
        <v>7000000</v>
      </c>
      <c r="F120" s="14">
        <f t="shared" si="34"/>
        <v>7000000</v>
      </c>
      <c r="G120" s="13"/>
      <c r="H120" s="13">
        <v>7234068</v>
      </c>
      <c r="I120" s="14">
        <f t="shared" si="35"/>
        <v>7234068</v>
      </c>
    </row>
    <row r="121" spans="1:9" s="185" customFormat="1" x14ac:dyDescent="0.25">
      <c r="B121" s="186" t="s">
        <v>594</v>
      </c>
      <c r="C121" s="101"/>
      <c r="D121" s="80"/>
      <c r="E121" s="80"/>
      <c r="F121" s="93">
        <f t="shared" si="34"/>
        <v>0</v>
      </c>
      <c r="G121" s="80"/>
      <c r="H121" s="80"/>
      <c r="I121" s="93">
        <f>+H121+G121</f>
        <v>0</v>
      </c>
    </row>
    <row r="122" spans="1:9" s="185" customFormat="1" x14ac:dyDescent="0.25">
      <c r="B122" s="187" t="s">
        <v>586</v>
      </c>
      <c r="C122" s="101"/>
      <c r="D122" s="80">
        <f>+D120-D121</f>
        <v>0</v>
      </c>
      <c r="E122" s="80">
        <f>+E120-E121</f>
        <v>7000000</v>
      </c>
      <c r="F122" s="93">
        <f t="shared" si="34"/>
        <v>7000000</v>
      </c>
      <c r="G122" s="80">
        <f>+G120-G121</f>
        <v>0</v>
      </c>
      <c r="H122" s="80">
        <f>+H120-H121</f>
        <v>7234068</v>
      </c>
      <c r="I122" s="93">
        <f>+H122+G122</f>
        <v>7234068</v>
      </c>
    </row>
    <row r="123" spans="1:9" hidden="1" x14ac:dyDescent="0.25">
      <c r="B123" s="59" t="s">
        <v>302</v>
      </c>
      <c r="C123" s="41" t="s">
        <v>303</v>
      </c>
      <c r="D123" s="13"/>
      <c r="E123" s="13"/>
      <c r="F123" s="14">
        <f t="shared" si="34"/>
        <v>0</v>
      </c>
      <c r="G123" s="13"/>
      <c r="H123" s="13"/>
      <c r="I123" s="14">
        <f t="shared" si="35"/>
        <v>0</v>
      </c>
    </row>
    <row r="124" spans="1:9" hidden="1" x14ac:dyDescent="0.25">
      <c r="B124" s="54" t="s">
        <v>304</v>
      </c>
      <c r="C124" s="41" t="s">
        <v>305</v>
      </c>
      <c r="D124" s="13"/>
      <c r="E124" s="13"/>
      <c r="F124" s="14">
        <f t="shared" si="34"/>
        <v>0</v>
      </c>
      <c r="G124" s="13"/>
      <c r="H124" s="13"/>
      <c r="I124" s="14">
        <f t="shared" si="35"/>
        <v>0</v>
      </c>
    </row>
    <row r="125" spans="1:9" hidden="1" x14ac:dyDescent="0.25">
      <c r="B125" s="54" t="s">
        <v>306</v>
      </c>
      <c r="C125" s="41" t="s">
        <v>307</v>
      </c>
      <c r="D125" s="13"/>
      <c r="E125" s="13"/>
      <c r="F125" s="14">
        <f t="shared" si="34"/>
        <v>0</v>
      </c>
      <c r="G125" s="13"/>
      <c r="H125" s="13"/>
      <c r="I125" s="14">
        <f t="shared" si="35"/>
        <v>0</v>
      </c>
    </row>
    <row r="126" spans="1:9" x14ac:dyDescent="0.25">
      <c r="B126" s="45" t="s">
        <v>308</v>
      </c>
      <c r="C126" s="44" t="s">
        <v>309</v>
      </c>
      <c r="D126" s="14">
        <f>SUM(D118:D125)+D117+D112+D111-D121-D122</f>
        <v>0</v>
      </c>
      <c r="E126" s="14">
        <f>SUM(E118:E125)+E117+E112+E111-E121-E122</f>
        <v>7000000</v>
      </c>
      <c r="F126" s="14">
        <f>SUM(F118:F124)+F117+F112+F111-F121-F122</f>
        <v>7000000</v>
      </c>
      <c r="G126" s="14">
        <f>SUM(G118:G125)+G117+G112+G111-G121-G122</f>
        <v>0</v>
      </c>
      <c r="H126" s="14">
        <f>SUM(H118:H125)+H117+H112+H111-H121-H122</f>
        <v>7234068</v>
      </c>
      <c r="I126" s="14">
        <f>SUM(I118:I124)+I117+I112+I111-I121-I122</f>
        <v>7234068</v>
      </c>
    </row>
    <row r="127" spans="1:9" hidden="1" x14ac:dyDescent="0.25">
      <c r="B127" s="59" t="s">
        <v>310</v>
      </c>
      <c r="C127" s="41" t="s">
        <v>311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4" t="s">
        <v>312</v>
      </c>
      <c r="C128" s="41" t="s">
        <v>313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4" t="s">
        <v>314</v>
      </c>
      <c r="C129" s="41" t="s">
        <v>315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2" t="s">
        <v>316</v>
      </c>
      <c r="C130" s="63" t="s">
        <v>317</v>
      </c>
      <c r="D130" s="57">
        <f>+D128+D127+D126+D129</f>
        <v>0</v>
      </c>
      <c r="E130" s="57">
        <f>+E128+E127+E126+E129</f>
        <v>7000000</v>
      </c>
      <c r="F130" s="57">
        <f>+F129+F127+F126</f>
        <v>7000000</v>
      </c>
      <c r="G130" s="57">
        <f>+G128+G127+G126+G129</f>
        <v>0</v>
      </c>
      <c r="H130" s="57">
        <f>+H128+H127+H126+H129</f>
        <v>7234068</v>
      </c>
      <c r="I130" s="57">
        <f>+I129+I127+I126</f>
        <v>7234068</v>
      </c>
    </row>
    <row r="131" spans="2:9" x14ac:dyDescent="0.25">
      <c r="B131" s="17" t="s">
        <v>318</v>
      </c>
      <c r="C131" s="17" t="s">
        <v>319</v>
      </c>
      <c r="D131" s="18">
        <f t="shared" ref="D131:I131" si="36">+D108+D130</f>
        <v>59000000</v>
      </c>
      <c r="E131" s="18">
        <f t="shared" si="36"/>
        <v>450656000</v>
      </c>
      <c r="F131" s="18">
        <f t="shared" si="36"/>
        <v>509656000</v>
      </c>
      <c r="G131" s="18">
        <f t="shared" si="36"/>
        <v>59000000</v>
      </c>
      <c r="H131" s="18">
        <f t="shared" si="36"/>
        <v>450890068</v>
      </c>
      <c r="I131" s="18">
        <f t="shared" si="36"/>
        <v>509890068</v>
      </c>
    </row>
    <row r="132" spans="2:9" x14ac:dyDescent="0.25">
      <c r="B132" s="2"/>
      <c r="C132" s="2"/>
      <c r="D132" s="3"/>
      <c r="E132" s="3"/>
      <c r="F132" s="65"/>
      <c r="G132" s="3"/>
      <c r="H132" s="3"/>
      <c r="I132" s="65"/>
    </row>
    <row r="133" spans="2:9" x14ac:dyDescent="0.25">
      <c r="B133" s="15" t="s">
        <v>320</v>
      </c>
      <c r="C133" s="15"/>
      <c r="D133" s="14">
        <f t="shared" ref="D133:I133" si="37">+D108-D58</f>
        <v>0</v>
      </c>
      <c r="E133" s="14">
        <f t="shared" si="37"/>
        <v>-7000000</v>
      </c>
      <c r="F133" s="14">
        <f t="shared" si="37"/>
        <v>-7000000</v>
      </c>
      <c r="G133" s="14">
        <f t="shared" si="37"/>
        <v>40000</v>
      </c>
      <c r="H133" s="14">
        <f t="shared" si="37"/>
        <v>-7274068</v>
      </c>
      <c r="I133" s="14">
        <f t="shared" si="37"/>
        <v>-7234068</v>
      </c>
    </row>
    <row r="134" spans="2:9" x14ac:dyDescent="0.25">
      <c r="B134" s="15" t="s">
        <v>321</v>
      </c>
      <c r="C134" s="15"/>
      <c r="D134" s="14">
        <f t="shared" ref="D134:I134" si="38">+D130-D63</f>
        <v>0</v>
      </c>
      <c r="E134" s="14">
        <f t="shared" si="38"/>
        <v>7000000</v>
      </c>
      <c r="F134" s="14">
        <f t="shared" si="38"/>
        <v>7000000</v>
      </c>
      <c r="G134" s="14">
        <f t="shared" si="38"/>
        <v>0</v>
      </c>
      <c r="H134" s="14">
        <f t="shared" si="38"/>
        <v>7234068</v>
      </c>
      <c r="I134" s="14">
        <f t="shared" si="38"/>
        <v>7234068</v>
      </c>
    </row>
    <row r="135" spans="2:9" x14ac:dyDescent="0.25">
      <c r="B135" s="2"/>
      <c r="C135" s="2"/>
      <c r="D135" s="3"/>
      <c r="E135" s="3"/>
      <c r="F135" s="65"/>
      <c r="G135" s="3"/>
      <c r="H135" s="3"/>
      <c r="I135" s="65"/>
    </row>
    <row r="136" spans="2:9" x14ac:dyDescent="0.25">
      <c r="B136" s="70" t="s">
        <v>324</v>
      </c>
      <c r="C136" s="2"/>
      <c r="D136" s="3">
        <f t="shared" ref="D136:I136" si="39">+D131-D64</f>
        <v>0</v>
      </c>
      <c r="E136" s="3">
        <f t="shared" si="39"/>
        <v>0</v>
      </c>
      <c r="F136" s="3">
        <f t="shared" si="39"/>
        <v>0</v>
      </c>
      <c r="G136" s="3">
        <f t="shared" si="39"/>
        <v>40000</v>
      </c>
      <c r="H136" s="3">
        <f t="shared" si="39"/>
        <v>-40000</v>
      </c>
      <c r="I136" s="3">
        <f t="shared" si="39"/>
        <v>0</v>
      </c>
    </row>
    <row r="137" spans="2:9" x14ac:dyDescent="0.25">
      <c r="B137" s="2"/>
      <c r="C137" s="2"/>
      <c r="D137" s="3"/>
      <c r="E137" s="3"/>
      <c r="F137" s="65"/>
      <c r="G137" s="3"/>
      <c r="H137" s="3"/>
      <c r="I137" s="65"/>
    </row>
    <row r="138" spans="2:9" x14ac:dyDescent="0.25">
      <c r="B138" s="2"/>
      <c r="C138" s="2"/>
      <c r="D138" s="3"/>
      <c r="E138" s="3"/>
      <c r="F138" s="65"/>
      <c r="G138" s="3"/>
      <c r="H138" s="3"/>
      <c r="I138" s="65"/>
    </row>
    <row r="139" spans="2:9" x14ac:dyDescent="0.25">
      <c r="B139" s="2"/>
      <c r="C139" s="2"/>
      <c r="D139" s="3"/>
      <c r="E139" s="3"/>
      <c r="F139" s="65"/>
      <c r="G139" s="3"/>
      <c r="H139" s="3"/>
      <c r="I139" s="65"/>
    </row>
    <row r="140" spans="2:9" x14ac:dyDescent="0.25">
      <c r="B140" s="2"/>
      <c r="C140" s="2"/>
      <c r="D140" s="3"/>
      <c r="E140" s="3"/>
      <c r="F140" s="65"/>
      <c r="G140" s="3"/>
      <c r="H140" s="3"/>
      <c r="I140" s="65"/>
    </row>
    <row r="141" spans="2:9" x14ac:dyDescent="0.25">
      <c r="B141" s="2"/>
      <c r="C141" s="2"/>
      <c r="D141" s="3"/>
      <c r="E141" s="3"/>
      <c r="F141" s="65"/>
      <c r="G141" s="3"/>
      <c r="H141" s="3"/>
      <c r="I141" s="65"/>
    </row>
    <row r="142" spans="2:9" x14ac:dyDescent="0.25">
      <c r="B142" s="2"/>
      <c r="C142" s="2"/>
      <c r="D142" s="3"/>
      <c r="E142" s="3"/>
      <c r="F142" s="65"/>
      <c r="G142" s="3"/>
      <c r="H142" s="3"/>
      <c r="I142" s="65"/>
    </row>
    <row r="143" spans="2:9" x14ac:dyDescent="0.25">
      <c r="B143" s="2"/>
      <c r="C143" s="2"/>
      <c r="D143" s="3"/>
      <c r="E143" s="3"/>
      <c r="F143" s="65"/>
      <c r="G143" s="3"/>
      <c r="H143" s="3"/>
      <c r="I143" s="65"/>
    </row>
    <row r="144" spans="2:9" x14ac:dyDescent="0.25">
      <c r="B144" s="2"/>
      <c r="C144" s="2"/>
      <c r="D144" s="3"/>
      <c r="E144" s="3"/>
      <c r="F144" s="65"/>
      <c r="G144" s="3"/>
      <c r="H144" s="3"/>
      <c r="I144" s="65"/>
    </row>
    <row r="145" spans="2:9" x14ac:dyDescent="0.25">
      <c r="B145" s="2"/>
      <c r="C145" s="2"/>
      <c r="D145" s="3"/>
      <c r="E145" s="3"/>
      <c r="F145" s="65"/>
      <c r="G145" s="3"/>
      <c r="H145" s="3"/>
      <c r="I145" s="65"/>
    </row>
    <row r="146" spans="2:9" x14ac:dyDescent="0.25">
      <c r="B146" s="2"/>
      <c r="C146" s="2"/>
      <c r="D146" s="3"/>
      <c r="E146" s="3"/>
      <c r="F146" s="65"/>
      <c r="G146" s="3"/>
      <c r="H146" s="3"/>
      <c r="I146" s="65"/>
    </row>
    <row r="147" spans="2:9" x14ac:dyDescent="0.25">
      <c r="B147" s="2"/>
      <c r="C147" s="2"/>
      <c r="D147" s="3"/>
      <c r="E147" s="3"/>
      <c r="F147" s="65"/>
      <c r="G147" s="3"/>
      <c r="H147" s="3"/>
      <c r="I147" s="65"/>
    </row>
    <row r="148" spans="2:9" x14ac:dyDescent="0.25">
      <c r="B148" s="2"/>
      <c r="C148" s="2"/>
      <c r="D148" s="3"/>
      <c r="E148" s="3"/>
      <c r="F148" s="65"/>
      <c r="G148" s="3"/>
      <c r="H148" s="3"/>
      <c r="I148" s="65"/>
    </row>
    <row r="149" spans="2:9" x14ac:dyDescent="0.25">
      <c r="B149" s="2"/>
      <c r="C149" s="2"/>
      <c r="D149" s="3"/>
      <c r="E149" s="3"/>
      <c r="F149" s="65"/>
      <c r="G149" s="3"/>
      <c r="H149" s="3"/>
      <c r="I149" s="65"/>
    </row>
    <row r="150" spans="2:9" x14ac:dyDescent="0.25">
      <c r="B150" s="2"/>
      <c r="C150" s="2"/>
      <c r="D150" s="3"/>
      <c r="E150" s="3"/>
      <c r="F150" s="65"/>
      <c r="G150" s="3"/>
      <c r="H150" s="3"/>
      <c r="I150" s="65"/>
    </row>
    <row r="151" spans="2:9" x14ac:dyDescent="0.25">
      <c r="B151" s="2"/>
      <c r="C151" s="2"/>
      <c r="D151" s="3"/>
      <c r="E151" s="3"/>
      <c r="F151" s="65"/>
      <c r="G151" s="3"/>
      <c r="H151" s="3"/>
      <c r="I151" s="65"/>
    </row>
    <row r="152" spans="2:9" x14ac:dyDescent="0.25">
      <c r="B152" s="2"/>
      <c r="C152" s="2"/>
      <c r="D152" s="3"/>
      <c r="E152" s="3"/>
      <c r="F152" s="65"/>
      <c r="G152" s="3"/>
      <c r="H152" s="3"/>
      <c r="I152" s="65"/>
    </row>
    <row r="153" spans="2:9" x14ac:dyDescent="0.25">
      <c r="B153" s="2"/>
      <c r="C153" s="2"/>
      <c r="D153" s="3"/>
      <c r="E153" s="3"/>
      <c r="F153" s="65"/>
      <c r="G153" s="3"/>
      <c r="H153" s="3"/>
      <c r="I153" s="65"/>
    </row>
    <row r="154" spans="2:9" x14ac:dyDescent="0.25">
      <c r="B154" s="2"/>
      <c r="C154" s="2"/>
      <c r="D154" s="3"/>
      <c r="E154" s="3"/>
      <c r="F154" s="65"/>
      <c r="G154" s="3"/>
      <c r="H154" s="3"/>
      <c r="I154" s="65"/>
    </row>
    <row r="155" spans="2:9" x14ac:dyDescent="0.25">
      <c r="B155" s="2"/>
      <c r="C155" s="2"/>
      <c r="D155" s="3"/>
      <c r="E155" s="3"/>
      <c r="F155" s="65"/>
      <c r="G155" s="3"/>
      <c r="H155" s="3"/>
      <c r="I155" s="65"/>
    </row>
    <row r="156" spans="2:9" x14ac:dyDescent="0.25">
      <c r="B156" s="2"/>
      <c r="C156" s="2"/>
      <c r="D156" s="3"/>
      <c r="E156" s="3"/>
      <c r="F156" s="65"/>
      <c r="G156" s="3"/>
      <c r="H156" s="3"/>
      <c r="I156" s="65"/>
    </row>
    <row r="157" spans="2:9" x14ac:dyDescent="0.25">
      <c r="B157" s="2"/>
      <c r="C157" s="2"/>
      <c r="D157" s="3"/>
      <c r="E157" s="3"/>
      <c r="F157" s="65"/>
      <c r="G157" s="3"/>
      <c r="H157" s="3"/>
      <c r="I157" s="65"/>
    </row>
    <row r="158" spans="2:9" x14ac:dyDescent="0.25">
      <c r="B158" s="2"/>
      <c r="C158" s="2"/>
      <c r="D158" s="3"/>
      <c r="E158" s="3"/>
      <c r="F158" s="65"/>
      <c r="G158" s="3"/>
      <c r="H158" s="3"/>
      <c r="I158" s="65"/>
    </row>
    <row r="159" spans="2:9" x14ac:dyDescent="0.25">
      <c r="B159" s="2"/>
      <c r="C159" s="2"/>
      <c r="D159" s="3"/>
      <c r="E159" s="3"/>
      <c r="F159" s="65"/>
      <c r="G159" s="3"/>
      <c r="H159" s="3"/>
      <c r="I159" s="65"/>
    </row>
    <row r="160" spans="2:9" x14ac:dyDescent="0.25">
      <c r="B160" s="2"/>
      <c r="C160" s="2"/>
      <c r="D160" s="3"/>
      <c r="E160" s="3"/>
      <c r="F160" s="65"/>
      <c r="G160" s="3"/>
      <c r="H160" s="3"/>
      <c r="I160" s="65"/>
    </row>
    <row r="161" spans="2:9" x14ac:dyDescent="0.25">
      <c r="B161" s="2"/>
      <c r="C161" s="2"/>
      <c r="D161" s="3"/>
      <c r="E161" s="3"/>
      <c r="F161" s="65"/>
      <c r="G161" s="3"/>
      <c r="H161" s="3"/>
      <c r="I161" s="65"/>
    </row>
    <row r="162" spans="2:9" x14ac:dyDescent="0.25">
      <c r="B162" s="2"/>
      <c r="C162" s="2"/>
      <c r="D162" s="3"/>
      <c r="E162" s="3"/>
      <c r="F162" s="65"/>
      <c r="G162" s="3"/>
      <c r="H162" s="3"/>
      <c r="I162" s="65"/>
    </row>
    <row r="163" spans="2:9" x14ac:dyDescent="0.25">
      <c r="B163" s="2"/>
      <c r="C163" s="2"/>
      <c r="D163" s="3"/>
      <c r="E163" s="3"/>
      <c r="F163" s="65"/>
      <c r="G163" s="3"/>
      <c r="H163" s="3"/>
      <c r="I163" s="65"/>
    </row>
    <row r="164" spans="2:9" x14ac:dyDescent="0.25">
      <c r="B164" s="2"/>
      <c r="C164" s="2"/>
      <c r="D164" s="3"/>
      <c r="E164" s="3"/>
      <c r="F164" s="65"/>
      <c r="G164" s="3"/>
      <c r="H164" s="3"/>
      <c r="I164" s="65"/>
    </row>
    <row r="165" spans="2:9" x14ac:dyDescent="0.25">
      <c r="B165" s="2"/>
      <c r="C165" s="2"/>
      <c r="D165" s="3"/>
      <c r="E165" s="3"/>
      <c r="F165" s="65"/>
      <c r="G165" s="3"/>
      <c r="H165" s="3"/>
      <c r="I165" s="65"/>
    </row>
    <row r="166" spans="2:9" x14ac:dyDescent="0.25">
      <c r="B166" s="2"/>
      <c r="C166" s="2"/>
      <c r="D166" s="3"/>
      <c r="E166" s="3"/>
      <c r="F166" s="65"/>
      <c r="G166" s="3"/>
      <c r="H166" s="3"/>
      <c r="I166" s="65"/>
    </row>
    <row r="167" spans="2:9" x14ac:dyDescent="0.25">
      <c r="B167" s="2"/>
      <c r="C167" s="2"/>
      <c r="D167" s="3"/>
      <c r="E167" s="3"/>
      <c r="F167" s="65"/>
      <c r="G167" s="3"/>
      <c r="H167" s="3"/>
      <c r="I167" s="65"/>
    </row>
    <row r="168" spans="2:9" x14ac:dyDescent="0.25">
      <c r="B168" s="2"/>
      <c r="C168" s="2"/>
      <c r="D168" s="3"/>
      <c r="E168" s="3"/>
      <c r="F168" s="65"/>
      <c r="G168" s="3"/>
      <c r="H168" s="3"/>
      <c r="I168" s="65"/>
    </row>
    <row r="169" spans="2:9" x14ac:dyDescent="0.25">
      <c r="B169" s="2"/>
      <c r="C169" s="2"/>
      <c r="D169" s="3"/>
      <c r="E169" s="3"/>
      <c r="F169" s="65"/>
      <c r="G169" s="3"/>
      <c r="H169" s="3"/>
      <c r="I169" s="65"/>
    </row>
    <row r="170" spans="2:9" x14ac:dyDescent="0.25">
      <c r="B170" s="2"/>
      <c r="C170" s="2"/>
      <c r="D170" s="3"/>
      <c r="E170" s="3"/>
      <c r="F170" s="65"/>
      <c r="G170" s="3"/>
      <c r="H170" s="3"/>
      <c r="I170" s="65"/>
    </row>
    <row r="171" spans="2:9" x14ac:dyDescent="0.25">
      <c r="B171" s="2"/>
      <c r="C171" s="2"/>
      <c r="D171" s="3"/>
      <c r="E171" s="3"/>
      <c r="F171" s="65"/>
      <c r="G171" s="3"/>
      <c r="H171" s="3"/>
      <c r="I171" s="65"/>
    </row>
    <row r="172" spans="2:9" x14ac:dyDescent="0.25">
      <c r="B172" s="2"/>
      <c r="C172" s="2"/>
      <c r="D172" s="3"/>
      <c r="E172" s="3"/>
      <c r="F172" s="65"/>
      <c r="G172" s="3"/>
      <c r="H172" s="3"/>
      <c r="I172" s="65"/>
    </row>
    <row r="173" spans="2:9" x14ac:dyDescent="0.25">
      <c r="B173" s="2"/>
      <c r="C173" s="2"/>
      <c r="D173" s="3"/>
      <c r="E173" s="3"/>
      <c r="F173" s="65"/>
      <c r="G173" s="3"/>
      <c r="H173" s="3"/>
      <c r="I173" s="65"/>
    </row>
    <row r="174" spans="2:9" x14ac:dyDescent="0.25">
      <c r="B174" s="2"/>
      <c r="C174" s="2"/>
      <c r="D174" s="3"/>
      <c r="E174" s="3"/>
      <c r="F174" s="65"/>
      <c r="G174" s="3"/>
      <c r="H174" s="3"/>
      <c r="I174" s="65"/>
    </row>
    <row r="175" spans="2:9" x14ac:dyDescent="0.25">
      <c r="B175" s="2"/>
      <c r="C175" s="2"/>
      <c r="D175" s="3"/>
      <c r="E175" s="3"/>
      <c r="F175" s="65"/>
      <c r="G175" s="3"/>
      <c r="H175" s="3"/>
      <c r="I175" s="65"/>
    </row>
    <row r="176" spans="2:9" x14ac:dyDescent="0.25">
      <c r="B176" s="2"/>
      <c r="C176" s="2"/>
      <c r="D176" s="3"/>
      <c r="E176" s="3"/>
      <c r="F176" s="65"/>
      <c r="G176" s="3"/>
      <c r="H176" s="3"/>
      <c r="I176" s="65"/>
    </row>
    <row r="177" spans="2:9" x14ac:dyDescent="0.25">
      <c r="B177" s="2"/>
      <c r="C177" s="2"/>
      <c r="D177" s="3"/>
      <c r="E177" s="3"/>
      <c r="F177" s="65"/>
      <c r="G177" s="3"/>
      <c r="H177" s="3"/>
      <c r="I177" s="65"/>
    </row>
    <row r="178" spans="2:9" x14ac:dyDescent="0.25">
      <c r="B178" s="2"/>
      <c r="C178" s="2"/>
      <c r="D178" s="3"/>
      <c r="E178" s="3"/>
      <c r="F178" s="65"/>
      <c r="G178" s="3"/>
      <c r="H178" s="3"/>
      <c r="I178" s="65"/>
    </row>
    <row r="179" spans="2:9" x14ac:dyDescent="0.25">
      <c r="B179" s="2"/>
      <c r="C179" s="2"/>
      <c r="D179" s="3"/>
      <c r="E179" s="3"/>
      <c r="F179" s="65"/>
      <c r="G179" s="3"/>
      <c r="H179" s="3"/>
      <c r="I179" s="65"/>
    </row>
    <row r="180" spans="2:9" x14ac:dyDescent="0.25">
      <c r="B180" s="2"/>
      <c r="C180" s="2"/>
      <c r="D180" s="3"/>
      <c r="E180" s="3"/>
      <c r="F180" s="65"/>
      <c r="G180" s="3"/>
      <c r="H180" s="3"/>
      <c r="I180" s="65"/>
    </row>
    <row r="181" spans="2:9" x14ac:dyDescent="0.25">
      <c r="B181" s="2"/>
      <c r="C181" s="2"/>
      <c r="D181" s="3"/>
      <c r="E181" s="3"/>
      <c r="F181" s="65"/>
      <c r="G181" s="3"/>
      <c r="H181" s="3"/>
      <c r="I181" s="65"/>
    </row>
    <row r="182" spans="2:9" x14ac:dyDescent="0.25">
      <c r="B182" s="2"/>
      <c r="C182" s="2"/>
      <c r="D182" s="3"/>
      <c r="E182" s="3"/>
      <c r="F182" s="65"/>
      <c r="G182" s="3"/>
      <c r="H182" s="3"/>
      <c r="I182" s="65"/>
    </row>
    <row r="183" spans="2:9" x14ac:dyDescent="0.25">
      <c r="B183" s="2"/>
      <c r="C183" s="2"/>
      <c r="D183" s="3"/>
      <c r="E183" s="3"/>
      <c r="F183" s="65"/>
      <c r="G183" s="3"/>
      <c r="H183" s="3"/>
      <c r="I183" s="65"/>
    </row>
    <row r="184" spans="2:9" x14ac:dyDescent="0.25">
      <c r="B184" s="2"/>
      <c r="C184" s="2"/>
      <c r="D184" s="3"/>
      <c r="E184" s="3"/>
      <c r="F184" s="65"/>
      <c r="G184" s="3"/>
      <c r="H184" s="3"/>
      <c r="I184" s="65"/>
    </row>
    <row r="185" spans="2:9" x14ac:dyDescent="0.25">
      <c r="B185" s="2"/>
      <c r="C185" s="2"/>
      <c r="D185" s="3"/>
      <c r="E185" s="3"/>
      <c r="F185" s="65"/>
      <c r="G185" s="3"/>
      <c r="H185" s="3"/>
      <c r="I185" s="65"/>
    </row>
    <row r="186" spans="2:9" x14ac:dyDescent="0.25">
      <c r="B186" s="2"/>
      <c r="C186" s="2"/>
      <c r="D186" s="3"/>
      <c r="E186" s="3"/>
      <c r="F186" s="65"/>
      <c r="G186" s="3"/>
      <c r="H186" s="3"/>
      <c r="I186" s="65"/>
    </row>
    <row r="187" spans="2:9" x14ac:dyDescent="0.25">
      <c r="B187" s="2"/>
      <c r="C187" s="2"/>
      <c r="D187" s="3"/>
      <c r="E187" s="3"/>
      <c r="F187" s="65"/>
      <c r="G187" s="3"/>
      <c r="H187" s="3"/>
      <c r="I187" s="65"/>
    </row>
    <row r="188" spans="2:9" x14ac:dyDescent="0.25">
      <c r="B188" s="2"/>
      <c r="C188" s="2"/>
      <c r="D188" s="3"/>
      <c r="E188" s="3"/>
      <c r="F188" s="65"/>
      <c r="G188" s="3"/>
      <c r="H188" s="3"/>
      <c r="I188" s="65"/>
    </row>
    <row r="189" spans="2:9" x14ac:dyDescent="0.25">
      <c r="B189" s="2"/>
      <c r="C189" s="2"/>
      <c r="D189" s="3"/>
      <c r="E189" s="3"/>
      <c r="F189" s="65"/>
      <c r="G189" s="3"/>
      <c r="H189" s="3"/>
      <c r="I189" s="65"/>
    </row>
    <row r="190" spans="2:9" x14ac:dyDescent="0.25">
      <c r="B190" s="2"/>
      <c r="C190" s="2"/>
      <c r="D190" s="3"/>
      <c r="E190" s="3"/>
      <c r="F190" s="65"/>
      <c r="G190" s="3"/>
      <c r="H190" s="3"/>
      <c r="I190" s="65"/>
    </row>
    <row r="191" spans="2:9" x14ac:dyDescent="0.25">
      <c r="B191" s="2"/>
      <c r="C191" s="2"/>
      <c r="D191" s="3"/>
      <c r="E191" s="3"/>
      <c r="F191" s="65"/>
      <c r="G191" s="3"/>
      <c r="H191" s="3"/>
      <c r="I191" s="65"/>
    </row>
    <row r="192" spans="2:9" x14ac:dyDescent="0.25">
      <c r="B192" s="2"/>
      <c r="C192" s="2"/>
      <c r="D192" s="3"/>
      <c r="E192" s="3"/>
      <c r="F192" s="65"/>
      <c r="G192" s="3"/>
      <c r="H192" s="3"/>
      <c r="I192" s="65"/>
    </row>
    <row r="193" spans="2:9" x14ac:dyDescent="0.25">
      <c r="B193" s="2"/>
      <c r="C193" s="2"/>
      <c r="D193" s="3"/>
      <c r="E193" s="3"/>
      <c r="F193" s="65"/>
      <c r="G193" s="3"/>
      <c r="H193" s="3"/>
      <c r="I193" s="65"/>
    </row>
    <row r="194" spans="2:9" x14ac:dyDescent="0.25">
      <c r="B194" s="2"/>
      <c r="C194" s="2"/>
      <c r="D194" s="3"/>
      <c r="E194" s="3"/>
      <c r="F194" s="65"/>
      <c r="G194" s="3"/>
      <c r="H194" s="3"/>
      <c r="I194" s="65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4513888888888888" top="0.54027777777777775" bottom="0.51180555555555551" header="0.51180555555555551" footer="0.31527777777777777"/>
  <pageSetup paperSize="9" scale="56" firstPageNumber="0" orientation="portrait" horizontalDpi="300" verticalDpi="30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K260"/>
  <sheetViews>
    <sheetView view="pageBreakPreview" topLeftCell="C1" zoomScale="80" zoomScaleSheetLayoutView="80" workbookViewId="0">
      <selection activeCell="I1" sqref="I1"/>
    </sheetView>
  </sheetViews>
  <sheetFormatPr defaultColWidth="11.5703125" defaultRowHeight="15.75" x14ac:dyDescent="0.25"/>
  <cols>
    <col min="1" max="1" width="10.7109375" style="19" customWidth="1"/>
    <col min="2" max="2" width="66" style="19" customWidth="1"/>
    <col min="3" max="3" width="9.7109375" style="19" customWidth="1"/>
    <col min="4" max="4" width="14.28515625" style="19" customWidth="1"/>
    <col min="5" max="5" width="13.42578125" style="19" customWidth="1"/>
    <col min="6" max="6" width="14.85546875" style="20" customWidth="1"/>
    <col min="7" max="7" width="14.28515625" style="19" customWidth="1"/>
    <col min="8" max="8" width="12.7109375" style="19" customWidth="1"/>
    <col min="9" max="9" width="15.28515625" style="20" customWidth="1"/>
    <col min="10" max="245" width="9.140625" style="19" customWidth="1"/>
  </cols>
  <sheetData>
    <row r="1" spans="2:9" s="2" customFormat="1" ht="18.75" x14ac:dyDescent="0.25">
      <c r="I1" s="4" t="s">
        <v>910</v>
      </c>
    </row>
    <row r="2" spans="2:9" s="2" customFormat="1" ht="20.25" x14ac:dyDescent="0.3">
      <c r="B2" s="180" t="s">
        <v>3</v>
      </c>
      <c r="I2" s="5" t="str">
        <f>+'10 Járób'!I2</f>
        <v>a 2/2020.(II.27. ) önkormányzati rendelethez</v>
      </c>
    </row>
    <row r="3" spans="2:9" s="2" customFormat="1" x14ac:dyDescent="0.25">
      <c r="B3" s="31" t="s">
        <v>768</v>
      </c>
      <c r="C3" s="25"/>
      <c r="D3" s="25"/>
      <c r="E3" s="25"/>
      <c r="F3" s="26"/>
      <c r="G3" s="25"/>
      <c r="H3" s="25"/>
      <c r="I3" s="26"/>
    </row>
    <row r="4" spans="2:9" s="2" customFormat="1" x14ac:dyDescent="0.25">
      <c r="B4" s="29" t="s">
        <v>717</v>
      </c>
      <c r="C4" s="30"/>
      <c r="D4" s="30"/>
      <c r="E4" s="30"/>
      <c r="F4" s="31"/>
      <c r="G4" s="30"/>
      <c r="H4" s="30"/>
      <c r="I4" s="31"/>
    </row>
    <row r="5" spans="2:9" ht="15.75" customHeight="1" x14ac:dyDescent="0.25">
      <c r="B5" s="34"/>
      <c r="D5" s="583" t="s">
        <v>6</v>
      </c>
      <c r="E5" s="583"/>
      <c r="F5" s="583"/>
      <c r="G5" s="583" t="s">
        <v>7</v>
      </c>
      <c r="H5" s="583"/>
      <c r="I5" s="583"/>
    </row>
    <row r="6" spans="2:9" ht="47.25" x14ac:dyDescent="0.25">
      <c r="B6" s="8" t="s">
        <v>8</v>
      </c>
      <c r="C6" s="35" t="s">
        <v>33</v>
      </c>
      <c r="D6" s="36" t="s">
        <v>9</v>
      </c>
      <c r="E6" s="36" t="s">
        <v>10</v>
      </c>
      <c r="F6" s="35" t="s">
        <v>515</v>
      </c>
      <c r="G6" s="36" t="s">
        <v>9</v>
      </c>
      <c r="H6" s="36" t="s">
        <v>10</v>
      </c>
      <c r="I6" s="35" t="s">
        <v>515</v>
      </c>
    </row>
    <row r="7" spans="2:9" x14ac:dyDescent="0.25">
      <c r="B7" s="39" t="s">
        <v>34</v>
      </c>
      <c r="C7" s="40" t="s">
        <v>35</v>
      </c>
      <c r="D7" s="259">
        <v>341242290</v>
      </c>
      <c r="E7" s="259">
        <v>6409615</v>
      </c>
      <c r="F7" s="14">
        <f>+D7+E7</f>
        <v>347651905</v>
      </c>
      <c r="G7" s="259">
        <v>363555533</v>
      </c>
      <c r="H7" s="259">
        <v>3359615</v>
      </c>
      <c r="I7" s="14">
        <f>+G7+H7</f>
        <v>366915148</v>
      </c>
    </row>
    <row r="8" spans="2:9" x14ac:dyDescent="0.25">
      <c r="B8" s="41" t="s">
        <v>36</v>
      </c>
      <c r="C8" s="40" t="s">
        <v>37</v>
      </c>
      <c r="D8" s="259">
        <v>2573000</v>
      </c>
      <c r="E8" s="259">
        <v>0</v>
      </c>
      <c r="F8" s="14">
        <f>+D8+E8</f>
        <v>2573000</v>
      </c>
      <c r="G8" s="259">
        <v>7308000</v>
      </c>
      <c r="H8" s="259">
        <v>800000</v>
      </c>
      <c r="I8" s="14">
        <f>+G8+H8</f>
        <v>8108000</v>
      </c>
    </row>
    <row r="9" spans="2:9" x14ac:dyDescent="0.25">
      <c r="B9" s="42" t="s">
        <v>38</v>
      </c>
      <c r="C9" s="43" t="s">
        <v>39</v>
      </c>
      <c r="D9" s="14">
        <f t="shared" ref="D9:I9" si="0">SUM(D7:D8)</f>
        <v>343815290</v>
      </c>
      <c r="E9" s="14">
        <f t="shared" si="0"/>
        <v>6409615</v>
      </c>
      <c r="F9" s="14">
        <f t="shared" si="0"/>
        <v>350224905</v>
      </c>
      <c r="G9" s="14">
        <f>SUM(G7:G8)</f>
        <v>370863533</v>
      </c>
      <c r="H9" s="14">
        <f>SUM(H7:H8)</f>
        <v>4159615</v>
      </c>
      <c r="I9" s="14">
        <f t="shared" si="0"/>
        <v>375023148</v>
      </c>
    </row>
    <row r="10" spans="2:9" x14ac:dyDescent="0.25">
      <c r="B10" s="44" t="s">
        <v>40</v>
      </c>
      <c r="C10" s="43" t="s">
        <v>41</v>
      </c>
      <c r="D10" s="260">
        <v>60203581</v>
      </c>
      <c r="E10" s="260">
        <v>1834724</v>
      </c>
      <c r="F10" s="14">
        <f t="shared" ref="F10:F15" si="1">+D10+E10</f>
        <v>62038305</v>
      </c>
      <c r="G10" s="260">
        <v>65677907</v>
      </c>
      <c r="H10" s="260">
        <v>1305974</v>
      </c>
      <c r="I10" s="14">
        <f t="shared" ref="I10:I15" si="2">+G10+H10</f>
        <v>66983881</v>
      </c>
    </row>
    <row r="11" spans="2:9" x14ac:dyDescent="0.25">
      <c r="B11" s="41" t="s">
        <v>42</v>
      </c>
      <c r="C11" s="40" t="s">
        <v>43</v>
      </c>
      <c r="D11" s="259">
        <v>57216950</v>
      </c>
      <c r="E11" s="259">
        <v>1006765</v>
      </c>
      <c r="F11" s="14">
        <f t="shared" si="1"/>
        <v>58223715</v>
      </c>
      <c r="G11" s="259">
        <v>57216950</v>
      </c>
      <c r="H11" s="259">
        <v>1506765</v>
      </c>
      <c r="I11" s="14">
        <f t="shared" si="2"/>
        <v>58723715</v>
      </c>
    </row>
    <row r="12" spans="2:9" x14ac:dyDescent="0.25">
      <c r="B12" s="41" t="s">
        <v>44</v>
      </c>
      <c r="C12" s="40" t="s">
        <v>45</v>
      </c>
      <c r="D12" s="259">
        <v>1843000</v>
      </c>
      <c r="E12" s="259">
        <v>0</v>
      </c>
      <c r="F12" s="14">
        <f t="shared" si="1"/>
        <v>1843000</v>
      </c>
      <c r="G12" s="259">
        <v>1843000</v>
      </c>
      <c r="H12" s="259">
        <v>0</v>
      </c>
      <c r="I12" s="14">
        <f t="shared" si="2"/>
        <v>1843000</v>
      </c>
    </row>
    <row r="13" spans="2:9" x14ac:dyDescent="0.25">
      <c r="B13" s="41" t="s">
        <v>46</v>
      </c>
      <c r="C13" s="40" t="s">
        <v>47</v>
      </c>
      <c r="D13" s="259">
        <v>43599770</v>
      </c>
      <c r="E13" s="259">
        <v>792100</v>
      </c>
      <c r="F13" s="14">
        <f t="shared" si="1"/>
        <v>44391870</v>
      </c>
      <c r="G13" s="259">
        <v>43599770</v>
      </c>
      <c r="H13" s="259">
        <v>4032332</v>
      </c>
      <c r="I13" s="14">
        <f t="shared" si="2"/>
        <v>47632102</v>
      </c>
    </row>
    <row r="14" spans="2:9" x14ac:dyDescent="0.25">
      <c r="B14" s="41" t="s">
        <v>48</v>
      </c>
      <c r="C14" s="40" t="s">
        <v>49</v>
      </c>
      <c r="D14" s="259">
        <v>125000</v>
      </c>
      <c r="E14" s="259">
        <v>961482</v>
      </c>
      <c r="F14" s="14">
        <f t="shared" si="1"/>
        <v>1086482</v>
      </c>
      <c r="G14" s="259">
        <v>125000</v>
      </c>
      <c r="H14" s="259">
        <v>0</v>
      </c>
      <c r="I14" s="14">
        <f t="shared" si="2"/>
        <v>125000</v>
      </c>
    </row>
    <row r="15" spans="2:9" x14ac:dyDescent="0.25">
      <c r="B15" s="41" t="s">
        <v>50</v>
      </c>
      <c r="C15" s="40" t="s">
        <v>51</v>
      </c>
      <c r="D15" s="259">
        <v>29093034</v>
      </c>
      <c r="E15" s="259">
        <v>597962</v>
      </c>
      <c r="F15" s="14">
        <f t="shared" si="1"/>
        <v>29690996</v>
      </c>
      <c r="G15" s="259">
        <v>29093034</v>
      </c>
      <c r="H15" s="259">
        <v>597962</v>
      </c>
      <c r="I15" s="14">
        <f t="shared" si="2"/>
        <v>29690996</v>
      </c>
    </row>
    <row r="16" spans="2:9" x14ac:dyDescent="0.25">
      <c r="B16" s="44" t="s">
        <v>52</v>
      </c>
      <c r="C16" s="43" t="s">
        <v>53</v>
      </c>
      <c r="D16" s="14">
        <f t="shared" ref="D16:I16" si="3">SUM(D11:D15)</f>
        <v>131877754</v>
      </c>
      <c r="E16" s="14">
        <f t="shared" si="3"/>
        <v>3358309</v>
      </c>
      <c r="F16" s="14">
        <f t="shared" si="3"/>
        <v>135236063</v>
      </c>
      <c r="G16" s="14">
        <f>SUM(G11:G15)</f>
        <v>131877754</v>
      </c>
      <c r="H16" s="14">
        <f>SUM(H11:H15)</f>
        <v>6137059</v>
      </c>
      <c r="I16" s="14">
        <f t="shared" si="3"/>
        <v>138014813</v>
      </c>
    </row>
    <row r="17" spans="2:9" x14ac:dyDescent="0.25">
      <c r="B17" s="45" t="s">
        <v>54</v>
      </c>
      <c r="C17" s="43" t="s">
        <v>55</v>
      </c>
      <c r="D17" s="13"/>
      <c r="E17" s="13"/>
      <c r="F17" s="14">
        <f t="shared" ref="F17:F31" si="4">+D17+E17</f>
        <v>0</v>
      </c>
      <c r="G17" s="13"/>
      <c r="H17" s="13"/>
      <c r="I17" s="14">
        <f t="shared" ref="I17:I31" si="5">+G17+H17</f>
        <v>0</v>
      </c>
    </row>
    <row r="18" spans="2:9" hidden="1" x14ac:dyDescent="0.25">
      <c r="B18" s="46" t="s">
        <v>56</v>
      </c>
      <c r="C18" s="40" t="s">
        <v>57</v>
      </c>
      <c r="D18" s="13"/>
      <c r="E18" s="13"/>
      <c r="F18" s="14">
        <f t="shared" si="4"/>
        <v>0</v>
      </c>
      <c r="G18" s="13"/>
      <c r="H18" s="13"/>
      <c r="I18" s="14">
        <f t="shared" si="5"/>
        <v>0</v>
      </c>
    </row>
    <row r="19" spans="2:9" hidden="1" x14ac:dyDescent="0.25">
      <c r="B19" s="46" t="s">
        <v>58</v>
      </c>
      <c r="C19" s="40" t="s">
        <v>59</v>
      </c>
      <c r="D19" s="13"/>
      <c r="E19" s="13"/>
      <c r="F19" s="14">
        <f t="shared" si="4"/>
        <v>0</v>
      </c>
      <c r="G19" s="13"/>
      <c r="H19" s="13"/>
      <c r="I19" s="14">
        <f t="shared" si="5"/>
        <v>0</v>
      </c>
    </row>
    <row r="20" spans="2:9" ht="31.5" hidden="1" x14ac:dyDescent="0.25">
      <c r="B20" s="46" t="s">
        <v>60</v>
      </c>
      <c r="C20" s="40" t="s">
        <v>61</v>
      </c>
      <c r="D20" s="13"/>
      <c r="E20" s="13"/>
      <c r="F20" s="14">
        <f t="shared" si="4"/>
        <v>0</v>
      </c>
      <c r="G20" s="13"/>
      <c r="H20" s="13"/>
      <c r="I20" s="14">
        <f t="shared" si="5"/>
        <v>0</v>
      </c>
    </row>
    <row r="21" spans="2:9" ht="31.5" hidden="1" x14ac:dyDescent="0.25">
      <c r="B21" s="46" t="s">
        <v>62</v>
      </c>
      <c r="C21" s="40" t="s">
        <v>63</v>
      </c>
      <c r="D21" s="13"/>
      <c r="E21" s="13"/>
      <c r="F21" s="14">
        <f t="shared" si="4"/>
        <v>0</v>
      </c>
      <c r="G21" s="13"/>
      <c r="H21" s="13"/>
      <c r="I21" s="14">
        <f t="shared" si="5"/>
        <v>0</v>
      </c>
    </row>
    <row r="22" spans="2:9" ht="31.5" hidden="1" x14ac:dyDescent="0.25">
      <c r="B22" s="46" t="s">
        <v>587</v>
      </c>
      <c r="C22" s="40" t="s">
        <v>65</v>
      </c>
      <c r="D22" s="13"/>
      <c r="E22" s="13"/>
      <c r="F22" s="14">
        <f t="shared" si="4"/>
        <v>0</v>
      </c>
      <c r="G22" s="13"/>
      <c r="H22" s="13"/>
      <c r="I22" s="14">
        <f t="shared" si="5"/>
        <v>0</v>
      </c>
    </row>
    <row r="23" spans="2:9" hidden="1" x14ac:dyDescent="0.25">
      <c r="B23" s="46" t="s">
        <v>66</v>
      </c>
      <c r="C23" s="40" t="s">
        <v>67</v>
      </c>
      <c r="D23" s="13"/>
      <c r="E23" s="13"/>
      <c r="F23" s="14">
        <f t="shared" si="4"/>
        <v>0</v>
      </c>
      <c r="G23" s="13"/>
      <c r="H23" s="13"/>
      <c r="I23" s="14">
        <f t="shared" si="5"/>
        <v>0</v>
      </c>
    </row>
    <row r="24" spans="2:9" ht="31.5" hidden="1" x14ac:dyDescent="0.25">
      <c r="B24" s="46" t="s">
        <v>68</v>
      </c>
      <c r="C24" s="40" t="s">
        <v>69</v>
      </c>
      <c r="D24" s="13"/>
      <c r="E24" s="13"/>
      <c r="F24" s="14">
        <f t="shared" si="4"/>
        <v>0</v>
      </c>
      <c r="G24" s="13"/>
      <c r="H24" s="13"/>
      <c r="I24" s="14">
        <f t="shared" si="5"/>
        <v>0</v>
      </c>
    </row>
    <row r="25" spans="2:9" ht="31.5" hidden="1" x14ac:dyDescent="0.25">
      <c r="B25" s="46" t="s">
        <v>70</v>
      </c>
      <c r="C25" s="40" t="s">
        <v>71</v>
      </c>
      <c r="D25" s="13"/>
      <c r="E25" s="13"/>
      <c r="F25" s="14">
        <f t="shared" si="4"/>
        <v>0</v>
      </c>
      <c r="G25" s="13"/>
      <c r="H25" s="13"/>
      <c r="I25" s="14">
        <f t="shared" si="5"/>
        <v>0</v>
      </c>
    </row>
    <row r="26" spans="2:9" hidden="1" x14ac:dyDescent="0.25">
      <c r="B26" s="46" t="s">
        <v>72</v>
      </c>
      <c r="C26" s="40" t="s">
        <v>73</v>
      </c>
      <c r="D26" s="13"/>
      <c r="E26" s="13"/>
      <c r="F26" s="14">
        <f t="shared" si="4"/>
        <v>0</v>
      </c>
      <c r="G26" s="13"/>
      <c r="H26" s="13"/>
      <c r="I26" s="14">
        <f t="shared" si="5"/>
        <v>0</v>
      </c>
    </row>
    <row r="27" spans="2:9" hidden="1" x14ac:dyDescent="0.25">
      <c r="B27" s="47" t="s">
        <v>74</v>
      </c>
      <c r="C27" s="40" t="s">
        <v>75</v>
      </c>
      <c r="D27" s="13"/>
      <c r="E27" s="13"/>
      <c r="F27" s="14">
        <f t="shared" si="4"/>
        <v>0</v>
      </c>
      <c r="G27" s="13"/>
      <c r="H27" s="13"/>
      <c r="I27" s="14">
        <f t="shared" si="5"/>
        <v>0</v>
      </c>
    </row>
    <row r="28" spans="2:9" hidden="1" x14ac:dyDescent="0.25">
      <c r="B28" s="47" t="s">
        <v>588</v>
      </c>
      <c r="C28" s="40" t="s">
        <v>77</v>
      </c>
      <c r="D28" s="13"/>
      <c r="E28" s="13"/>
      <c r="F28" s="14">
        <f t="shared" si="4"/>
        <v>0</v>
      </c>
      <c r="G28" s="13"/>
      <c r="H28" s="13"/>
      <c r="I28" s="14">
        <f t="shared" si="5"/>
        <v>0</v>
      </c>
    </row>
    <row r="29" spans="2:9" hidden="1" x14ac:dyDescent="0.25">
      <c r="B29" s="46" t="s">
        <v>78</v>
      </c>
      <c r="C29" s="40" t="s">
        <v>79</v>
      </c>
      <c r="D29" s="13"/>
      <c r="E29" s="13"/>
      <c r="F29" s="14">
        <f t="shared" si="4"/>
        <v>0</v>
      </c>
      <c r="G29" s="13"/>
      <c r="H29" s="13"/>
      <c r="I29" s="14">
        <f t="shared" si="5"/>
        <v>0</v>
      </c>
    </row>
    <row r="30" spans="2:9" hidden="1" x14ac:dyDescent="0.25">
      <c r="B30" s="47" t="s">
        <v>80</v>
      </c>
      <c r="C30" s="40" t="s">
        <v>81</v>
      </c>
      <c r="D30" s="13"/>
      <c r="E30" s="13"/>
      <c r="F30" s="14">
        <f t="shared" si="4"/>
        <v>0</v>
      </c>
      <c r="G30" s="13"/>
      <c r="H30" s="13"/>
      <c r="I30" s="14">
        <f t="shared" si="5"/>
        <v>0</v>
      </c>
    </row>
    <row r="31" spans="2:9" hidden="1" x14ac:dyDescent="0.25">
      <c r="B31" s="47" t="s">
        <v>82</v>
      </c>
      <c r="C31" s="40" t="s">
        <v>81</v>
      </c>
      <c r="D31" s="13"/>
      <c r="E31" s="13"/>
      <c r="F31" s="14">
        <f t="shared" si="4"/>
        <v>0</v>
      </c>
      <c r="G31" s="13"/>
      <c r="H31" s="13"/>
      <c r="I31" s="14">
        <f t="shared" si="5"/>
        <v>0</v>
      </c>
    </row>
    <row r="32" spans="2:9" s="20" customFormat="1" x14ac:dyDescent="0.25">
      <c r="B32" s="45" t="s">
        <v>83</v>
      </c>
      <c r="C32" s="43" t="s">
        <v>84</v>
      </c>
      <c r="D32" s="14">
        <f t="shared" ref="D32:I32" si="6">SUM(D18:D31)</f>
        <v>0</v>
      </c>
      <c r="E32" s="14">
        <f t="shared" si="6"/>
        <v>0</v>
      </c>
      <c r="F32" s="14">
        <f t="shared" si="6"/>
        <v>0</v>
      </c>
      <c r="G32" s="14">
        <f>SUM(G18:G31)</f>
        <v>0</v>
      </c>
      <c r="H32" s="14">
        <f>SUM(H18:H31)</f>
        <v>0</v>
      </c>
      <c r="I32" s="14">
        <f t="shared" si="6"/>
        <v>0</v>
      </c>
    </row>
    <row r="33" spans="2:9" x14ac:dyDescent="0.25">
      <c r="B33" s="48" t="s">
        <v>85</v>
      </c>
      <c r="C33" s="49" t="s">
        <v>86</v>
      </c>
      <c r="D33" s="50">
        <f t="shared" ref="D33:I33" si="7">+D32+D17+D16+D10+D9</f>
        <v>535896625</v>
      </c>
      <c r="E33" s="50">
        <f t="shared" si="7"/>
        <v>11602648</v>
      </c>
      <c r="F33" s="50">
        <f t="shared" si="7"/>
        <v>547499273</v>
      </c>
      <c r="G33" s="50">
        <f>+G32+G17+G16+G10+G9</f>
        <v>568419194</v>
      </c>
      <c r="H33" s="50">
        <f>+H32+H17+H16+H10+H9</f>
        <v>11602648</v>
      </c>
      <c r="I33" s="50">
        <f t="shared" si="7"/>
        <v>580021842</v>
      </c>
    </row>
    <row r="34" spans="2:9" x14ac:dyDescent="0.25">
      <c r="B34" s="51" t="s">
        <v>87</v>
      </c>
      <c r="C34" s="40" t="s">
        <v>88</v>
      </c>
      <c r="D34" s="259">
        <v>106000</v>
      </c>
      <c r="E34" s="13"/>
      <c r="F34" s="14">
        <f t="shared" ref="F34:F40" si="8">+D34+E34</f>
        <v>106000</v>
      </c>
      <c r="G34" s="259">
        <v>106000</v>
      </c>
      <c r="H34" s="13"/>
      <c r="I34" s="14">
        <f t="shared" ref="I34:I40" si="9">+G34+H34</f>
        <v>106000</v>
      </c>
    </row>
    <row r="35" spans="2:9" x14ac:dyDescent="0.25">
      <c r="B35" s="51" t="s">
        <v>89</v>
      </c>
      <c r="C35" s="40" t="s">
        <v>90</v>
      </c>
      <c r="D35" s="259">
        <v>0</v>
      </c>
      <c r="E35" s="13"/>
      <c r="F35" s="14">
        <f t="shared" si="8"/>
        <v>0</v>
      </c>
      <c r="G35" s="259">
        <v>200000</v>
      </c>
      <c r="H35" s="13"/>
      <c r="I35" s="14">
        <f t="shared" si="9"/>
        <v>200000</v>
      </c>
    </row>
    <row r="36" spans="2:9" x14ac:dyDescent="0.25">
      <c r="B36" s="51" t="s">
        <v>91</v>
      </c>
      <c r="C36" s="40" t="s">
        <v>92</v>
      </c>
      <c r="D36" s="259">
        <v>500000</v>
      </c>
      <c r="E36" s="13"/>
      <c r="F36" s="14">
        <f t="shared" si="8"/>
        <v>500000</v>
      </c>
      <c r="G36" s="259">
        <v>300000</v>
      </c>
      <c r="H36" s="13"/>
      <c r="I36" s="14">
        <f t="shared" si="9"/>
        <v>300000</v>
      </c>
    </row>
    <row r="37" spans="2:9" x14ac:dyDescent="0.25">
      <c r="B37" s="51" t="s">
        <v>93</v>
      </c>
      <c r="C37" s="40" t="s">
        <v>94</v>
      </c>
      <c r="D37" s="259">
        <v>4000000</v>
      </c>
      <c r="E37" s="13"/>
      <c r="F37" s="14">
        <f t="shared" si="8"/>
        <v>4000000</v>
      </c>
      <c r="G37" s="259">
        <v>6200000</v>
      </c>
      <c r="H37" s="13"/>
      <c r="I37" s="14">
        <f t="shared" si="9"/>
        <v>6200000</v>
      </c>
    </row>
    <row r="38" spans="2:9" x14ac:dyDescent="0.25">
      <c r="B38" s="52" t="s">
        <v>95</v>
      </c>
      <c r="C38" s="40" t="s">
        <v>96</v>
      </c>
      <c r="D38" s="259"/>
      <c r="E38" s="13"/>
      <c r="F38" s="14">
        <f t="shared" si="8"/>
        <v>0</v>
      </c>
      <c r="G38" s="259"/>
      <c r="H38" s="13"/>
      <c r="I38" s="14">
        <f t="shared" si="9"/>
        <v>0</v>
      </c>
    </row>
    <row r="39" spans="2:9" x14ac:dyDescent="0.25">
      <c r="B39" s="52" t="s">
        <v>97</v>
      </c>
      <c r="C39" s="40" t="s">
        <v>98</v>
      </c>
      <c r="D39" s="259"/>
      <c r="E39" s="13"/>
      <c r="F39" s="14">
        <f t="shared" si="8"/>
        <v>0</v>
      </c>
      <c r="G39" s="259"/>
      <c r="H39" s="13"/>
      <c r="I39" s="14">
        <f t="shared" si="9"/>
        <v>0</v>
      </c>
    </row>
    <row r="40" spans="2:9" x14ac:dyDescent="0.25">
      <c r="B40" s="52" t="s">
        <v>99</v>
      </c>
      <c r="C40" s="40" t="s">
        <v>100</v>
      </c>
      <c r="D40" s="259">
        <v>1244000</v>
      </c>
      <c r="E40" s="13"/>
      <c r="F40" s="14">
        <f t="shared" si="8"/>
        <v>1244000</v>
      </c>
      <c r="G40" s="259">
        <v>1810000</v>
      </c>
      <c r="H40" s="13"/>
      <c r="I40" s="14">
        <f t="shared" si="9"/>
        <v>1810000</v>
      </c>
    </row>
    <row r="41" spans="2:9" s="20" customFormat="1" x14ac:dyDescent="0.25">
      <c r="B41" s="53" t="s">
        <v>101</v>
      </c>
      <c r="C41" s="43" t="s">
        <v>102</v>
      </c>
      <c r="D41" s="14">
        <f t="shared" ref="D41:I41" si="10">SUM(D34:D40)</f>
        <v>5850000</v>
      </c>
      <c r="E41" s="14">
        <f t="shared" si="10"/>
        <v>0</v>
      </c>
      <c r="F41" s="14">
        <f t="shared" si="10"/>
        <v>5850000</v>
      </c>
      <c r="G41" s="14">
        <f>SUM(G34:G40)</f>
        <v>8616000</v>
      </c>
      <c r="H41" s="14">
        <f>SUM(H34:H40)</f>
        <v>0</v>
      </c>
      <c r="I41" s="14">
        <f t="shared" si="10"/>
        <v>8616000</v>
      </c>
    </row>
    <row r="42" spans="2:9" x14ac:dyDescent="0.25">
      <c r="B42" s="54" t="s">
        <v>103</v>
      </c>
      <c r="C42" s="40" t="s">
        <v>104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4" t="s">
        <v>105</v>
      </c>
      <c r="C43" s="40" t="s">
        <v>106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4" t="s">
        <v>107</v>
      </c>
      <c r="C44" s="40" t="s">
        <v>108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4" t="s">
        <v>109</v>
      </c>
      <c r="C45" s="40" t="s">
        <v>110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4" t="s">
        <v>111</v>
      </c>
      <c r="C46" s="43" t="s">
        <v>112</v>
      </c>
      <c r="D46" s="14">
        <f t="shared" ref="D46:I46" si="11">SUM(D42:D45)</f>
        <v>0</v>
      </c>
      <c r="E46" s="14">
        <f t="shared" si="11"/>
        <v>0</v>
      </c>
      <c r="F46" s="14">
        <f t="shared" si="11"/>
        <v>0</v>
      </c>
      <c r="G46" s="14">
        <f t="shared" si="11"/>
        <v>0</v>
      </c>
      <c r="H46" s="14">
        <f t="shared" si="11"/>
        <v>0</v>
      </c>
      <c r="I46" s="14">
        <f t="shared" si="11"/>
        <v>0</v>
      </c>
    </row>
    <row r="47" spans="2:9" hidden="1" x14ac:dyDescent="0.25">
      <c r="B47" s="54" t="s">
        <v>589</v>
      </c>
      <c r="C47" s="40" t="s">
        <v>114</v>
      </c>
      <c r="D47" s="13"/>
      <c r="E47" s="13"/>
      <c r="F47" s="14">
        <f t="shared" ref="F47:F55" si="12">+D47+E47</f>
        <v>0</v>
      </c>
      <c r="G47" s="13"/>
      <c r="H47" s="13"/>
      <c r="I47" s="14">
        <f t="shared" ref="I47:I55" si="13">+G47+H47</f>
        <v>0</v>
      </c>
    </row>
    <row r="48" spans="2:9" ht="31.5" hidden="1" x14ac:dyDescent="0.25">
      <c r="B48" s="54" t="s">
        <v>590</v>
      </c>
      <c r="C48" s="40" t="s">
        <v>116</v>
      </c>
      <c r="D48" s="13"/>
      <c r="E48" s="13"/>
      <c r="F48" s="14">
        <f t="shared" si="12"/>
        <v>0</v>
      </c>
      <c r="G48" s="13"/>
      <c r="H48" s="13"/>
      <c r="I48" s="14">
        <f t="shared" si="13"/>
        <v>0</v>
      </c>
    </row>
    <row r="49" spans="2:9" ht="31.5" hidden="1" x14ac:dyDescent="0.25">
      <c r="B49" s="54" t="s">
        <v>117</v>
      </c>
      <c r="C49" s="40" t="s">
        <v>118</v>
      </c>
      <c r="D49" s="13"/>
      <c r="E49" s="13"/>
      <c r="F49" s="14">
        <f t="shared" si="12"/>
        <v>0</v>
      </c>
      <c r="G49" s="13"/>
      <c r="H49" s="13"/>
      <c r="I49" s="14">
        <f t="shared" si="13"/>
        <v>0</v>
      </c>
    </row>
    <row r="50" spans="2:9" hidden="1" x14ac:dyDescent="0.25">
      <c r="B50" s="54" t="s">
        <v>119</v>
      </c>
      <c r="C50" s="40" t="s">
        <v>120</v>
      </c>
      <c r="D50" s="13"/>
      <c r="E50" s="13"/>
      <c r="F50" s="14">
        <f t="shared" si="12"/>
        <v>0</v>
      </c>
      <c r="G50" s="13"/>
      <c r="H50" s="13"/>
      <c r="I50" s="14">
        <f t="shared" si="13"/>
        <v>0</v>
      </c>
    </row>
    <row r="51" spans="2:9" hidden="1" x14ac:dyDescent="0.25">
      <c r="B51" s="54" t="s">
        <v>121</v>
      </c>
      <c r="C51" s="40" t="s">
        <v>122</v>
      </c>
      <c r="D51" s="13"/>
      <c r="E51" s="13"/>
      <c r="F51" s="14">
        <f t="shared" si="12"/>
        <v>0</v>
      </c>
      <c r="G51" s="13"/>
      <c r="H51" s="13"/>
      <c r="I51" s="14">
        <f t="shared" si="13"/>
        <v>0</v>
      </c>
    </row>
    <row r="52" spans="2:9" hidden="1" x14ac:dyDescent="0.25">
      <c r="B52" s="54" t="s">
        <v>123</v>
      </c>
      <c r="C52" s="40" t="s">
        <v>124</v>
      </c>
      <c r="D52" s="13"/>
      <c r="E52" s="13"/>
      <c r="F52" s="14">
        <f t="shared" si="12"/>
        <v>0</v>
      </c>
      <c r="G52" s="13"/>
      <c r="H52" s="13"/>
      <c r="I52" s="14">
        <f t="shared" si="13"/>
        <v>0</v>
      </c>
    </row>
    <row r="53" spans="2:9" hidden="1" x14ac:dyDescent="0.25">
      <c r="B53" s="54" t="s">
        <v>125</v>
      </c>
      <c r="C53" s="40" t="s">
        <v>126</v>
      </c>
      <c r="D53" s="13"/>
      <c r="E53" s="13"/>
      <c r="F53" s="14">
        <f t="shared" si="12"/>
        <v>0</v>
      </c>
      <c r="G53" s="13"/>
      <c r="H53" s="13"/>
      <c r="I53" s="14">
        <f t="shared" si="13"/>
        <v>0</v>
      </c>
    </row>
    <row r="54" spans="2:9" hidden="1" x14ac:dyDescent="0.25">
      <c r="B54" s="47" t="s">
        <v>591</v>
      </c>
      <c r="C54" s="40" t="s">
        <v>128</v>
      </c>
      <c r="D54" s="13"/>
      <c r="E54" s="13"/>
      <c r="F54" s="14">
        <f t="shared" si="12"/>
        <v>0</v>
      </c>
      <c r="G54" s="13"/>
      <c r="H54" s="13"/>
      <c r="I54" s="14">
        <f t="shared" si="13"/>
        <v>0</v>
      </c>
    </row>
    <row r="55" spans="2:9" hidden="1" x14ac:dyDescent="0.25">
      <c r="B55" s="54" t="s">
        <v>129</v>
      </c>
      <c r="C55" s="40" t="s">
        <v>130</v>
      </c>
      <c r="D55" s="13"/>
      <c r="E55" s="13"/>
      <c r="F55" s="14">
        <f t="shared" si="12"/>
        <v>0</v>
      </c>
      <c r="G55" s="13"/>
      <c r="H55" s="13"/>
      <c r="I55" s="14">
        <f t="shared" si="13"/>
        <v>0</v>
      </c>
    </row>
    <row r="56" spans="2:9" s="20" customFormat="1" x14ac:dyDescent="0.25">
      <c r="B56" s="45" t="s">
        <v>131</v>
      </c>
      <c r="C56" s="43" t="s">
        <v>132</v>
      </c>
      <c r="D56" s="14">
        <f t="shared" ref="D56:I56" si="14">SUM(D47:D55)</f>
        <v>0</v>
      </c>
      <c r="E56" s="14">
        <f t="shared" si="14"/>
        <v>0</v>
      </c>
      <c r="F56" s="14">
        <f t="shared" si="14"/>
        <v>0</v>
      </c>
      <c r="G56" s="14">
        <f t="shared" si="14"/>
        <v>0</v>
      </c>
      <c r="H56" s="14">
        <f t="shared" si="14"/>
        <v>0</v>
      </c>
      <c r="I56" s="14">
        <f t="shared" si="14"/>
        <v>0</v>
      </c>
    </row>
    <row r="57" spans="2:9" x14ac:dyDescent="0.25">
      <c r="B57" s="48" t="s">
        <v>133</v>
      </c>
      <c r="C57" s="49" t="s">
        <v>134</v>
      </c>
      <c r="D57" s="50">
        <f t="shared" ref="D57:I57" si="15">+D56+D46+D41</f>
        <v>5850000</v>
      </c>
      <c r="E57" s="50">
        <f t="shared" si="15"/>
        <v>0</v>
      </c>
      <c r="F57" s="50">
        <f t="shared" si="15"/>
        <v>5850000</v>
      </c>
      <c r="G57" s="50">
        <f t="shared" si="15"/>
        <v>8616000</v>
      </c>
      <c r="H57" s="50">
        <f t="shared" si="15"/>
        <v>0</v>
      </c>
      <c r="I57" s="50">
        <f t="shared" si="15"/>
        <v>8616000</v>
      </c>
    </row>
    <row r="58" spans="2:9" x14ac:dyDescent="0.25">
      <c r="B58" s="55" t="s">
        <v>135</v>
      </c>
      <c r="C58" s="56" t="s">
        <v>136</v>
      </c>
      <c r="D58" s="57">
        <f t="shared" ref="D58:I58" si="16">+D56+D46+D41+D32+D17+D16+D10+D9</f>
        <v>541746625</v>
      </c>
      <c r="E58" s="57">
        <f t="shared" si="16"/>
        <v>11602648</v>
      </c>
      <c r="F58" s="57">
        <f t="shared" si="16"/>
        <v>553349273</v>
      </c>
      <c r="G58" s="57">
        <f t="shared" si="16"/>
        <v>577035194</v>
      </c>
      <c r="H58" s="57">
        <f t="shared" si="16"/>
        <v>11602648</v>
      </c>
      <c r="I58" s="57">
        <f t="shared" si="16"/>
        <v>588637842</v>
      </c>
    </row>
    <row r="59" spans="2:9" hidden="1" x14ac:dyDescent="0.25">
      <c r="B59" s="59" t="s">
        <v>572</v>
      </c>
      <c r="C59" s="41" t="s">
        <v>162</v>
      </c>
      <c r="D59" s="181"/>
      <c r="E59" s="181"/>
      <c r="F59" s="13">
        <f>+D59+E59</f>
        <v>0</v>
      </c>
      <c r="G59" s="181"/>
      <c r="H59" s="181"/>
      <c r="I59" s="13">
        <f>+G59+H59</f>
        <v>0</v>
      </c>
    </row>
    <row r="60" spans="2:9" hidden="1" x14ac:dyDescent="0.25">
      <c r="B60" s="59" t="s">
        <v>163</v>
      </c>
      <c r="C60" s="41" t="s">
        <v>164</v>
      </c>
      <c r="D60" s="181"/>
      <c r="E60" s="181"/>
      <c r="F60" s="13">
        <f>+D60+E60</f>
        <v>0</v>
      </c>
      <c r="G60" s="181"/>
      <c r="H60" s="181"/>
      <c r="I60" s="13">
        <f>+G60+H60</f>
        <v>0</v>
      </c>
    </row>
    <row r="61" spans="2:9" hidden="1" x14ac:dyDescent="0.25">
      <c r="B61" s="54" t="s">
        <v>165</v>
      </c>
      <c r="C61" s="41" t="s">
        <v>166</v>
      </c>
      <c r="D61" s="181"/>
      <c r="E61" s="181"/>
      <c r="F61" s="13">
        <f>+D61+E61</f>
        <v>0</v>
      </c>
      <c r="G61" s="181"/>
      <c r="H61" s="181"/>
      <c r="I61" s="13">
        <f>+G61+H61</f>
        <v>0</v>
      </c>
    </row>
    <row r="62" spans="2:9" hidden="1" x14ac:dyDescent="0.25">
      <c r="B62" s="54" t="s">
        <v>167</v>
      </c>
      <c r="C62" s="41" t="s">
        <v>168</v>
      </c>
      <c r="D62" s="181"/>
      <c r="E62" s="181"/>
      <c r="F62" s="13">
        <f>+D62+E62</f>
        <v>0</v>
      </c>
      <c r="G62" s="181"/>
      <c r="H62" s="181"/>
      <c r="I62" s="13">
        <f>+G62+H62</f>
        <v>0</v>
      </c>
    </row>
    <row r="63" spans="2:9" x14ac:dyDescent="0.25">
      <c r="B63" s="62" t="s">
        <v>169</v>
      </c>
      <c r="C63" s="63" t="s">
        <v>170</v>
      </c>
      <c r="D63" s="64">
        <f t="shared" ref="D63:I63" si="17">+D61+D60+D59+D62</f>
        <v>0</v>
      </c>
      <c r="E63" s="64">
        <f t="shared" si="17"/>
        <v>0</v>
      </c>
      <c r="F63" s="64">
        <f t="shared" si="17"/>
        <v>0</v>
      </c>
      <c r="G63" s="64">
        <f t="shared" si="17"/>
        <v>0</v>
      </c>
      <c r="H63" s="64">
        <f t="shared" si="17"/>
        <v>0</v>
      </c>
      <c r="I63" s="64">
        <f t="shared" si="17"/>
        <v>0</v>
      </c>
    </row>
    <row r="64" spans="2:9" x14ac:dyDescent="0.25">
      <c r="B64" s="17" t="s">
        <v>171</v>
      </c>
      <c r="C64" s="17" t="s">
        <v>172</v>
      </c>
      <c r="D64" s="18">
        <f t="shared" ref="D64:I64" si="18">+D58+D63</f>
        <v>541746625</v>
      </c>
      <c r="E64" s="18">
        <f t="shared" si="18"/>
        <v>11602648</v>
      </c>
      <c r="F64" s="18">
        <f t="shared" si="18"/>
        <v>553349273</v>
      </c>
      <c r="G64" s="18">
        <f t="shared" si="18"/>
        <v>577035194</v>
      </c>
      <c r="H64" s="18">
        <f t="shared" si="18"/>
        <v>11602648</v>
      </c>
      <c r="I64" s="18">
        <f t="shared" si="18"/>
        <v>588637842</v>
      </c>
    </row>
    <row r="65" spans="2:9" x14ac:dyDescent="0.25">
      <c r="B65" s="2"/>
      <c r="C65" s="2"/>
      <c r="D65" s="3"/>
      <c r="E65" s="3"/>
      <c r="F65" s="65"/>
      <c r="G65" s="3"/>
      <c r="H65" s="3"/>
      <c r="I65" s="65"/>
    </row>
    <row r="66" spans="2:9" ht="15.75" hidden="1" customHeight="1" x14ac:dyDescent="0.25">
      <c r="B66" s="2"/>
      <c r="C66" s="2"/>
      <c r="D66" s="583" t="s">
        <v>7</v>
      </c>
      <c r="E66" s="583"/>
      <c r="F66" s="583"/>
      <c r="G66" s="583" t="s">
        <v>7</v>
      </c>
      <c r="H66" s="583"/>
      <c r="I66" s="583"/>
    </row>
    <row r="67" spans="2:9" ht="47.25" x14ac:dyDescent="0.25">
      <c r="B67" s="8" t="s">
        <v>8</v>
      </c>
      <c r="C67" s="35" t="s">
        <v>173</v>
      </c>
      <c r="D67" s="36" t="s">
        <v>9</v>
      </c>
      <c r="E67" s="36" t="s">
        <v>10</v>
      </c>
      <c r="F67" s="35" t="s">
        <v>515</v>
      </c>
      <c r="G67" s="36" t="s">
        <v>9</v>
      </c>
      <c r="H67" s="36" t="s">
        <v>10</v>
      </c>
      <c r="I67" s="35" t="s">
        <v>515</v>
      </c>
    </row>
    <row r="68" spans="2:9" hidden="1" x14ac:dyDescent="0.25">
      <c r="B68" s="44" t="s">
        <v>573</v>
      </c>
      <c r="C68" s="53" t="s">
        <v>187</v>
      </c>
      <c r="D68" s="14"/>
      <c r="E68" s="14"/>
      <c r="F68" s="14">
        <f t="shared" ref="F68:F73" si="19">+E68+D68</f>
        <v>0</v>
      </c>
      <c r="G68" s="14"/>
      <c r="H68" s="14"/>
      <c r="I68" s="14">
        <f t="shared" ref="I68:I73" si="20">+H68+G68</f>
        <v>0</v>
      </c>
    </row>
    <row r="69" spans="2:9" hidden="1" x14ac:dyDescent="0.25">
      <c r="B69" s="41" t="s">
        <v>188</v>
      </c>
      <c r="C69" s="52" t="s">
        <v>189</v>
      </c>
      <c r="D69" s="14"/>
      <c r="E69" s="14"/>
      <c r="F69" s="14">
        <f t="shared" si="19"/>
        <v>0</v>
      </c>
      <c r="G69" s="14"/>
      <c r="H69" s="14"/>
      <c r="I69" s="14">
        <f t="shared" si="20"/>
        <v>0</v>
      </c>
    </row>
    <row r="70" spans="2:9" ht="31.5" hidden="1" x14ac:dyDescent="0.25">
      <c r="B70" s="41" t="s">
        <v>574</v>
      </c>
      <c r="C70" s="52" t="s">
        <v>191</v>
      </c>
      <c r="D70" s="14"/>
      <c r="E70" s="14"/>
      <c r="F70" s="14">
        <f t="shared" si="19"/>
        <v>0</v>
      </c>
      <c r="G70" s="14"/>
      <c r="H70" s="14"/>
      <c r="I70" s="14">
        <f t="shared" si="20"/>
        <v>0</v>
      </c>
    </row>
    <row r="71" spans="2:9" ht="31.5" hidden="1" x14ac:dyDescent="0.25">
      <c r="B71" s="41" t="s">
        <v>192</v>
      </c>
      <c r="C71" s="52" t="s">
        <v>193</v>
      </c>
      <c r="D71" s="14"/>
      <c r="E71" s="14"/>
      <c r="F71" s="14">
        <f t="shared" si="19"/>
        <v>0</v>
      </c>
      <c r="G71" s="14"/>
      <c r="H71" s="14"/>
      <c r="I71" s="14">
        <f t="shared" si="20"/>
        <v>0</v>
      </c>
    </row>
    <row r="72" spans="2:9" ht="31.5" hidden="1" x14ac:dyDescent="0.25">
      <c r="B72" s="41" t="s">
        <v>194</v>
      </c>
      <c r="C72" s="52" t="s">
        <v>195</v>
      </c>
      <c r="D72" s="14"/>
      <c r="E72" s="14"/>
      <c r="F72" s="14">
        <f t="shared" si="19"/>
        <v>0</v>
      </c>
      <c r="G72" s="14"/>
      <c r="H72" s="14"/>
      <c r="I72" s="14">
        <f t="shared" si="20"/>
        <v>0</v>
      </c>
    </row>
    <row r="73" spans="2:9" x14ac:dyDescent="0.25">
      <c r="B73" s="41" t="s">
        <v>196</v>
      </c>
      <c r="C73" s="52" t="s">
        <v>197</v>
      </c>
      <c r="D73" s="13"/>
      <c r="E73" s="259">
        <v>3133005</v>
      </c>
      <c r="F73" s="14">
        <f t="shared" si="19"/>
        <v>3133005</v>
      </c>
      <c r="G73" s="13"/>
      <c r="H73" s="259">
        <v>3133005</v>
      </c>
      <c r="I73" s="14">
        <f t="shared" si="20"/>
        <v>3133005</v>
      </c>
    </row>
    <row r="74" spans="2:9" x14ac:dyDescent="0.25">
      <c r="B74" s="44" t="s">
        <v>198</v>
      </c>
      <c r="C74" s="53" t="s">
        <v>199</v>
      </c>
      <c r="D74" s="14">
        <f t="shared" ref="D74:I74" si="21">+D73+D72+D71+D70+D69+D68</f>
        <v>0</v>
      </c>
      <c r="E74" s="14">
        <f t="shared" si="21"/>
        <v>3133005</v>
      </c>
      <c r="F74" s="14">
        <f t="shared" si="21"/>
        <v>3133005</v>
      </c>
      <c r="G74" s="14">
        <f>+G73+G72+G71+G70+G69+G68</f>
        <v>0</v>
      </c>
      <c r="H74" s="14">
        <f>+H73+H72+H71+H70+H69+H68</f>
        <v>3133005</v>
      </c>
      <c r="I74" s="14">
        <f t="shared" si="21"/>
        <v>3133005</v>
      </c>
    </row>
    <row r="75" spans="2:9" x14ac:dyDescent="0.25">
      <c r="B75" s="44" t="s">
        <v>200</v>
      </c>
      <c r="C75" s="53" t="s">
        <v>201</v>
      </c>
      <c r="D75" s="13"/>
      <c r="E75" s="13"/>
      <c r="F75" s="14">
        <f t="shared" ref="F75:F81" si="22">+E75+D75</f>
        <v>0</v>
      </c>
      <c r="G75" s="13"/>
      <c r="H75" s="13"/>
      <c r="I75" s="14">
        <f t="shared" ref="I75:I81" si="23">+H75+G75</f>
        <v>0</v>
      </c>
    </row>
    <row r="76" spans="2:9" hidden="1" x14ac:dyDescent="0.25">
      <c r="B76" s="41" t="s">
        <v>202</v>
      </c>
      <c r="C76" s="52" t="s">
        <v>203</v>
      </c>
      <c r="D76" s="13"/>
      <c r="E76" s="13"/>
      <c r="F76" s="14">
        <f t="shared" si="22"/>
        <v>0</v>
      </c>
      <c r="G76" s="13"/>
      <c r="H76" s="13"/>
      <c r="I76" s="14">
        <f t="shared" si="23"/>
        <v>0</v>
      </c>
    </row>
    <row r="77" spans="2:9" hidden="1" x14ac:dyDescent="0.25">
      <c r="B77" s="41" t="s">
        <v>204</v>
      </c>
      <c r="C77" s="52" t="s">
        <v>205</v>
      </c>
      <c r="D77" s="13"/>
      <c r="E77" s="13"/>
      <c r="F77" s="14">
        <f t="shared" si="22"/>
        <v>0</v>
      </c>
      <c r="G77" s="13"/>
      <c r="H77" s="13"/>
      <c r="I77" s="14">
        <f t="shared" si="23"/>
        <v>0</v>
      </c>
    </row>
    <row r="78" spans="2:9" hidden="1" x14ac:dyDescent="0.25">
      <c r="B78" s="41" t="s">
        <v>206</v>
      </c>
      <c r="C78" s="52" t="s">
        <v>207</v>
      </c>
      <c r="D78" s="13"/>
      <c r="E78" s="13"/>
      <c r="F78" s="14">
        <f t="shared" si="22"/>
        <v>0</v>
      </c>
      <c r="G78" s="13"/>
      <c r="H78" s="13"/>
      <c r="I78" s="14">
        <f t="shared" si="23"/>
        <v>0</v>
      </c>
    </row>
    <row r="79" spans="2:9" hidden="1" x14ac:dyDescent="0.25">
      <c r="B79" s="41" t="s">
        <v>208</v>
      </c>
      <c r="C79" s="52" t="s">
        <v>209</v>
      </c>
      <c r="D79" s="13"/>
      <c r="E79" s="13"/>
      <c r="F79" s="14">
        <f t="shared" si="22"/>
        <v>0</v>
      </c>
      <c r="G79" s="13"/>
      <c r="H79" s="13"/>
      <c r="I79" s="14">
        <f t="shared" si="23"/>
        <v>0</v>
      </c>
    </row>
    <row r="80" spans="2:9" hidden="1" x14ac:dyDescent="0.25">
      <c r="B80" s="41" t="s">
        <v>210</v>
      </c>
      <c r="C80" s="52" t="s">
        <v>211</v>
      </c>
      <c r="D80" s="13"/>
      <c r="E80" s="13"/>
      <c r="F80" s="14">
        <f t="shared" si="22"/>
        <v>0</v>
      </c>
      <c r="G80" s="13"/>
      <c r="H80" s="13"/>
      <c r="I80" s="14">
        <f t="shared" si="23"/>
        <v>0</v>
      </c>
    </row>
    <row r="81" spans="2:9" hidden="1" x14ac:dyDescent="0.25">
      <c r="B81" s="41" t="s">
        <v>212</v>
      </c>
      <c r="C81" s="52" t="s">
        <v>213</v>
      </c>
      <c r="D81" s="13"/>
      <c r="E81" s="13"/>
      <c r="F81" s="14">
        <f t="shared" si="22"/>
        <v>0</v>
      </c>
      <c r="G81" s="13"/>
      <c r="H81" s="13"/>
      <c r="I81" s="14">
        <f t="shared" si="23"/>
        <v>0</v>
      </c>
    </row>
    <row r="82" spans="2:9" x14ac:dyDescent="0.25">
      <c r="B82" s="44" t="s">
        <v>214</v>
      </c>
      <c r="C82" s="53" t="s">
        <v>215</v>
      </c>
      <c r="D82" s="14">
        <f t="shared" ref="D82:I82" si="24">SUM(D76:D81)</f>
        <v>0</v>
      </c>
      <c r="E82" s="14">
        <f t="shared" si="24"/>
        <v>0</v>
      </c>
      <c r="F82" s="14">
        <f t="shared" si="24"/>
        <v>0</v>
      </c>
      <c r="G82" s="14">
        <f>SUM(G76:G81)</f>
        <v>0</v>
      </c>
      <c r="H82" s="14">
        <f>SUM(H76:H81)</f>
        <v>0</v>
      </c>
      <c r="I82" s="14">
        <f t="shared" si="24"/>
        <v>0</v>
      </c>
    </row>
    <row r="83" spans="2:9" x14ac:dyDescent="0.25">
      <c r="B83" s="54" t="s">
        <v>577</v>
      </c>
      <c r="C83" s="52" t="s">
        <v>217</v>
      </c>
      <c r="D83" s="13"/>
      <c r="E83" s="13"/>
      <c r="F83" s="14">
        <f t="shared" ref="F83:F93" si="25">+E83+D83</f>
        <v>0</v>
      </c>
      <c r="G83" s="13"/>
      <c r="H83" s="13"/>
      <c r="I83" s="14">
        <f t="shared" ref="I83:I93" si="26">+H83+G83</f>
        <v>0</v>
      </c>
    </row>
    <row r="84" spans="2:9" x14ac:dyDescent="0.25">
      <c r="B84" s="54" t="s">
        <v>218</v>
      </c>
      <c r="C84" s="52" t="s">
        <v>219</v>
      </c>
      <c r="D84" s="259">
        <v>0</v>
      </c>
      <c r="E84" s="259">
        <v>2177953</v>
      </c>
      <c r="F84" s="14">
        <f t="shared" si="25"/>
        <v>2177953</v>
      </c>
      <c r="G84" s="259">
        <v>1750000</v>
      </c>
      <c r="H84" s="259">
        <v>2177953</v>
      </c>
      <c r="I84" s="14">
        <f t="shared" si="26"/>
        <v>3927953</v>
      </c>
    </row>
    <row r="85" spans="2:9" x14ac:dyDescent="0.25">
      <c r="B85" s="54" t="s">
        <v>220</v>
      </c>
      <c r="C85" s="52" t="s">
        <v>221</v>
      </c>
      <c r="D85" s="259"/>
      <c r="E85" s="259"/>
      <c r="F85" s="14">
        <f t="shared" si="25"/>
        <v>0</v>
      </c>
      <c r="G85" s="259"/>
      <c r="H85" s="259"/>
      <c r="I85" s="14">
        <f t="shared" si="26"/>
        <v>0</v>
      </c>
    </row>
    <row r="86" spans="2:9" x14ac:dyDescent="0.25">
      <c r="B86" s="54" t="s">
        <v>222</v>
      </c>
      <c r="C86" s="52" t="s">
        <v>223</v>
      </c>
      <c r="D86" s="259"/>
      <c r="E86" s="259"/>
      <c r="F86" s="14">
        <f t="shared" si="25"/>
        <v>0</v>
      </c>
      <c r="G86" s="259"/>
      <c r="H86" s="259"/>
      <c r="I86" s="14">
        <f t="shared" si="26"/>
        <v>0</v>
      </c>
    </row>
    <row r="87" spans="2:9" x14ac:dyDescent="0.25">
      <c r="B87" s="54" t="s">
        <v>224</v>
      </c>
      <c r="C87" s="52" t="s">
        <v>225</v>
      </c>
      <c r="D87" s="259">
        <v>131515483</v>
      </c>
      <c r="E87" s="259"/>
      <c r="F87" s="14">
        <f t="shared" si="25"/>
        <v>131515483</v>
      </c>
      <c r="G87" s="259">
        <v>131515483</v>
      </c>
      <c r="H87" s="259"/>
      <c r="I87" s="14">
        <f t="shared" si="26"/>
        <v>131515483</v>
      </c>
    </row>
    <row r="88" spans="2:9" x14ac:dyDescent="0.25">
      <c r="B88" s="54" t="s">
        <v>226</v>
      </c>
      <c r="C88" s="52" t="s">
        <v>227</v>
      </c>
      <c r="D88" s="259">
        <v>3676937</v>
      </c>
      <c r="E88" s="259">
        <v>588047</v>
      </c>
      <c r="F88" s="14">
        <f t="shared" si="25"/>
        <v>4264984</v>
      </c>
      <c r="G88" s="259">
        <v>3676937</v>
      </c>
      <c r="H88" s="259">
        <v>588047</v>
      </c>
      <c r="I88" s="14">
        <f t="shared" si="26"/>
        <v>4264984</v>
      </c>
    </row>
    <row r="89" spans="2:9" x14ac:dyDescent="0.25">
      <c r="B89" s="54" t="s">
        <v>228</v>
      </c>
      <c r="C89" s="52" t="s">
        <v>229</v>
      </c>
      <c r="D89" s="13"/>
      <c r="E89" s="13"/>
      <c r="F89" s="14">
        <f t="shared" si="25"/>
        <v>0</v>
      </c>
      <c r="G89" s="13"/>
      <c r="H89" s="13"/>
      <c r="I89" s="14">
        <f t="shared" si="26"/>
        <v>0</v>
      </c>
    </row>
    <row r="90" spans="2:9" x14ac:dyDescent="0.25">
      <c r="B90" s="54" t="s">
        <v>230</v>
      </c>
      <c r="C90" s="52" t="s">
        <v>231</v>
      </c>
      <c r="D90" s="13"/>
      <c r="E90" s="13"/>
      <c r="F90" s="14">
        <f t="shared" si="25"/>
        <v>0</v>
      </c>
      <c r="G90" s="13"/>
      <c r="H90" s="13"/>
      <c r="I90" s="14">
        <f t="shared" si="26"/>
        <v>0</v>
      </c>
    </row>
    <row r="91" spans="2:9" x14ac:dyDescent="0.25">
      <c r="B91" s="54" t="s">
        <v>232</v>
      </c>
      <c r="C91" s="52" t="s">
        <v>233</v>
      </c>
      <c r="D91" s="13"/>
      <c r="E91" s="13"/>
      <c r="F91" s="14">
        <f t="shared" si="25"/>
        <v>0</v>
      </c>
      <c r="G91" s="13"/>
      <c r="H91" s="13"/>
      <c r="I91" s="14">
        <f t="shared" si="26"/>
        <v>0</v>
      </c>
    </row>
    <row r="92" spans="2:9" x14ac:dyDescent="0.25">
      <c r="B92" s="54" t="s">
        <v>234</v>
      </c>
      <c r="C92" s="52" t="s">
        <v>235</v>
      </c>
      <c r="D92" s="13"/>
      <c r="E92" s="13"/>
      <c r="F92" s="14">
        <f t="shared" si="25"/>
        <v>0</v>
      </c>
      <c r="G92" s="13"/>
      <c r="H92" s="13"/>
      <c r="I92" s="14">
        <f t="shared" si="26"/>
        <v>0</v>
      </c>
    </row>
    <row r="93" spans="2:9" x14ac:dyDescent="0.25">
      <c r="B93" s="54" t="s">
        <v>236</v>
      </c>
      <c r="C93" s="52" t="s">
        <v>237</v>
      </c>
      <c r="D93" s="13">
        <v>0</v>
      </c>
      <c r="E93" s="13"/>
      <c r="F93" s="14">
        <f t="shared" si="25"/>
        <v>0</v>
      </c>
      <c r="G93" s="13"/>
      <c r="H93" s="13"/>
      <c r="I93" s="14">
        <f t="shared" si="26"/>
        <v>0</v>
      </c>
    </row>
    <row r="94" spans="2:9" x14ac:dyDescent="0.25">
      <c r="B94" s="45" t="s">
        <v>238</v>
      </c>
      <c r="C94" s="53" t="s">
        <v>239</v>
      </c>
      <c r="D94" s="14">
        <f t="shared" ref="D94:I94" si="27">SUM(D83:D93)</f>
        <v>135192420</v>
      </c>
      <c r="E94" s="14">
        <f t="shared" si="27"/>
        <v>2766000</v>
      </c>
      <c r="F94" s="14">
        <f t="shared" si="27"/>
        <v>137958420</v>
      </c>
      <c r="G94" s="14">
        <f t="shared" si="27"/>
        <v>136942420</v>
      </c>
      <c r="H94" s="14">
        <f t="shared" si="27"/>
        <v>2766000</v>
      </c>
      <c r="I94" s="14">
        <f t="shared" si="27"/>
        <v>139708420</v>
      </c>
    </row>
    <row r="95" spans="2:9" x14ac:dyDescent="0.25">
      <c r="B95" s="54" t="s">
        <v>240</v>
      </c>
      <c r="C95" s="52" t="s">
        <v>241</v>
      </c>
      <c r="D95" s="13"/>
      <c r="E95" s="13"/>
      <c r="F95" s="14">
        <f>+E95+D95</f>
        <v>0</v>
      </c>
      <c r="G95" s="13"/>
      <c r="H95" s="13"/>
      <c r="I95" s="14">
        <f>+H95+G95</f>
        <v>0</v>
      </c>
    </row>
    <row r="96" spans="2:9" x14ac:dyDescent="0.25">
      <c r="B96" s="54" t="s">
        <v>242</v>
      </c>
      <c r="C96" s="52" t="s">
        <v>243</v>
      </c>
      <c r="D96" s="13"/>
      <c r="E96" s="13"/>
      <c r="F96" s="14">
        <f>+E96+D96</f>
        <v>0</v>
      </c>
      <c r="G96" s="13"/>
      <c r="H96" s="13"/>
      <c r="I96" s="14">
        <f>+H96+G96</f>
        <v>0</v>
      </c>
    </row>
    <row r="97" spans="2:9" x14ac:dyDescent="0.25">
      <c r="B97" s="54" t="s">
        <v>244</v>
      </c>
      <c r="C97" s="52" t="s">
        <v>245</v>
      </c>
      <c r="D97" s="13"/>
      <c r="E97" s="13"/>
      <c r="F97" s="14">
        <f>+E97+D97</f>
        <v>0</v>
      </c>
      <c r="G97" s="13"/>
      <c r="H97" s="13"/>
      <c r="I97" s="14">
        <f>+H97+G97</f>
        <v>0</v>
      </c>
    </row>
    <row r="98" spans="2:9" hidden="1" x14ac:dyDescent="0.25">
      <c r="B98" s="54" t="s">
        <v>246</v>
      </c>
      <c r="C98" s="52" t="s">
        <v>247</v>
      </c>
      <c r="D98" s="13"/>
      <c r="E98" s="13"/>
      <c r="F98" s="14">
        <f>+E98+D98</f>
        <v>0</v>
      </c>
      <c r="G98" s="13"/>
      <c r="H98" s="13"/>
      <c r="I98" s="14">
        <f>+H98+G98</f>
        <v>0</v>
      </c>
    </row>
    <row r="99" spans="2:9" hidden="1" x14ac:dyDescent="0.25">
      <c r="B99" s="54" t="s">
        <v>248</v>
      </c>
      <c r="C99" s="52" t="s">
        <v>249</v>
      </c>
      <c r="D99" s="13"/>
      <c r="E99" s="13"/>
      <c r="F99" s="14">
        <f>+E99+D99</f>
        <v>0</v>
      </c>
      <c r="G99" s="13"/>
      <c r="H99" s="13"/>
      <c r="I99" s="14">
        <f>+H99+G99</f>
        <v>0</v>
      </c>
    </row>
    <row r="100" spans="2:9" x14ac:dyDescent="0.25">
      <c r="B100" s="44" t="s">
        <v>250</v>
      </c>
      <c r="C100" s="53" t="s">
        <v>251</v>
      </c>
      <c r="D100" s="14">
        <f t="shared" ref="D100:I100" si="28">SUM(D95:D99)</f>
        <v>0</v>
      </c>
      <c r="E100" s="14">
        <f t="shared" si="28"/>
        <v>0</v>
      </c>
      <c r="F100" s="14">
        <f t="shared" si="28"/>
        <v>0</v>
      </c>
      <c r="G100" s="14">
        <f t="shared" si="28"/>
        <v>0</v>
      </c>
      <c r="H100" s="14">
        <f t="shared" si="28"/>
        <v>0</v>
      </c>
      <c r="I100" s="14">
        <f t="shared" si="28"/>
        <v>0</v>
      </c>
    </row>
    <row r="101" spans="2:9" x14ac:dyDescent="0.25">
      <c r="B101" s="44" t="s">
        <v>252</v>
      </c>
      <c r="C101" s="53" t="s">
        <v>253</v>
      </c>
      <c r="D101" s="13"/>
      <c r="E101" s="13"/>
      <c r="F101" s="14">
        <f>+E101+D101</f>
        <v>0</v>
      </c>
      <c r="G101" s="13">
        <v>1016000</v>
      </c>
      <c r="H101" s="13"/>
      <c r="I101" s="14">
        <f>+H101+G101</f>
        <v>1016000</v>
      </c>
    </row>
    <row r="102" spans="2:9" hidden="1" x14ac:dyDescent="0.25">
      <c r="B102" s="54" t="s">
        <v>254</v>
      </c>
      <c r="C102" s="52" t="s">
        <v>255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</row>
    <row r="103" spans="2:9" ht="31.5" hidden="1" x14ac:dyDescent="0.25">
      <c r="B103" s="41" t="s">
        <v>256</v>
      </c>
      <c r="C103" s="52" t="s">
        <v>257</v>
      </c>
      <c r="D103" s="13"/>
      <c r="E103" s="13"/>
      <c r="F103" s="14"/>
      <c r="G103" s="13"/>
      <c r="H103" s="13"/>
      <c r="I103" s="14"/>
    </row>
    <row r="104" spans="2:9" ht="31.5" hidden="1" x14ac:dyDescent="0.25">
      <c r="B104" s="54" t="s">
        <v>258</v>
      </c>
      <c r="C104" s="52" t="s">
        <v>259</v>
      </c>
      <c r="D104" s="13"/>
      <c r="E104" s="13"/>
      <c r="F104" s="14"/>
      <c r="G104" s="13"/>
      <c r="H104" s="13"/>
      <c r="I104" s="14"/>
    </row>
    <row r="105" spans="2:9" hidden="1" x14ac:dyDescent="0.25">
      <c r="B105" s="54" t="s">
        <v>260</v>
      </c>
      <c r="C105" s="52" t="s">
        <v>261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</row>
    <row r="106" spans="2:9" x14ac:dyDescent="0.25">
      <c r="B106" s="54" t="s">
        <v>262</v>
      </c>
      <c r="C106" s="52" t="s">
        <v>263</v>
      </c>
      <c r="D106" s="13">
        <v>0</v>
      </c>
      <c r="E106" s="13"/>
      <c r="F106" s="14">
        <f>+E106+D106</f>
        <v>0</v>
      </c>
      <c r="G106" s="13"/>
      <c r="H106" s="13"/>
      <c r="I106" s="14">
        <f>+H106+G106</f>
        <v>0</v>
      </c>
    </row>
    <row r="107" spans="2:9" x14ac:dyDescent="0.25">
      <c r="B107" s="44" t="s">
        <v>264</v>
      </c>
      <c r="C107" s="53" t="s">
        <v>265</v>
      </c>
      <c r="D107" s="14">
        <f t="shared" ref="D107:I107" si="29">SUM(D102:D106)</f>
        <v>0</v>
      </c>
      <c r="E107" s="14">
        <f t="shared" si="29"/>
        <v>0</v>
      </c>
      <c r="F107" s="14">
        <f t="shared" si="29"/>
        <v>0</v>
      </c>
      <c r="G107" s="14">
        <f t="shared" si="29"/>
        <v>0</v>
      </c>
      <c r="H107" s="14">
        <f t="shared" si="29"/>
        <v>0</v>
      </c>
      <c r="I107" s="14">
        <f t="shared" si="29"/>
        <v>0</v>
      </c>
    </row>
    <row r="108" spans="2:9" x14ac:dyDescent="0.25">
      <c r="B108" s="66" t="s">
        <v>266</v>
      </c>
      <c r="C108" s="55" t="s">
        <v>267</v>
      </c>
      <c r="D108" s="57">
        <f t="shared" ref="D108:I108" si="30">+D107+D101+D100+D94+D82+D75+D74</f>
        <v>135192420</v>
      </c>
      <c r="E108" s="57">
        <f t="shared" si="30"/>
        <v>5899005</v>
      </c>
      <c r="F108" s="57">
        <f t="shared" si="30"/>
        <v>141091425</v>
      </c>
      <c r="G108" s="57">
        <f t="shared" si="30"/>
        <v>137958420</v>
      </c>
      <c r="H108" s="57">
        <f t="shared" si="30"/>
        <v>5899005</v>
      </c>
      <c r="I108" s="57">
        <f t="shared" si="30"/>
        <v>143857425</v>
      </c>
    </row>
    <row r="109" spans="2:9" x14ac:dyDescent="0.25">
      <c r="B109" s="67" t="s">
        <v>268</v>
      </c>
      <c r="C109" s="68"/>
      <c r="D109" s="69">
        <f>+D101+D94+D82+D74-D33</f>
        <v>-400704205</v>
      </c>
      <c r="E109" s="69">
        <f>+E101+E94+E82+E74-E33</f>
        <v>-5703643</v>
      </c>
      <c r="F109" s="69">
        <f t="shared" ref="F109:F116" si="31">+E109+D109</f>
        <v>-406407848</v>
      </c>
      <c r="G109" s="69">
        <f>+G101+G94+G82+G74-G33</f>
        <v>-430460774</v>
      </c>
      <c r="H109" s="69">
        <f>+H101+H94+H82+H74-H33</f>
        <v>-5703643</v>
      </c>
      <c r="I109" s="69">
        <f t="shared" ref="I109:I116" si="32">+H109+G109</f>
        <v>-436164417</v>
      </c>
    </row>
    <row r="110" spans="2:9" x14ac:dyDescent="0.25">
      <c r="B110" s="67" t="s">
        <v>269</v>
      </c>
      <c r="C110" s="68"/>
      <c r="D110" s="69">
        <f>+D107+D100+D75-D57</f>
        <v>-5850000</v>
      </c>
      <c r="E110" s="69">
        <f>+E107+E100+E75-E57</f>
        <v>0</v>
      </c>
      <c r="F110" s="69">
        <f t="shared" si="31"/>
        <v>-5850000</v>
      </c>
      <c r="G110" s="69">
        <f>+G107+G100+G75-G57</f>
        <v>-8616000</v>
      </c>
      <c r="H110" s="69">
        <f>+H107+H100+H75-H57</f>
        <v>0</v>
      </c>
      <c r="I110" s="69">
        <f t="shared" si="32"/>
        <v>-8616000</v>
      </c>
    </row>
    <row r="111" spans="2:9" ht="15.95" hidden="1" customHeight="1" x14ac:dyDescent="0.25">
      <c r="B111" s="45" t="s">
        <v>581</v>
      </c>
      <c r="C111" s="44" t="s">
        <v>277</v>
      </c>
      <c r="D111" s="13"/>
      <c r="E111" s="13"/>
      <c r="F111" s="14">
        <f t="shared" si="31"/>
        <v>0</v>
      </c>
      <c r="G111" s="13"/>
      <c r="H111" s="13"/>
      <c r="I111" s="14">
        <f t="shared" si="32"/>
        <v>0</v>
      </c>
    </row>
    <row r="112" spans="2:9" hidden="1" x14ac:dyDescent="0.25">
      <c r="B112" s="61" t="s">
        <v>582</v>
      </c>
      <c r="C112" s="44" t="s">
        <v>287</v>
      </c>
      <c r="D112" s="13"/>
      <c r="E112" s="13"/>
      <c r="F112" s="14">
        <f t="shared" si="31"/>
        <v>0</v>
      </c>
      <c r="G112" s="13"/>
      <c r="H112" s="13"/>
      <c r="I112" s="14">
        <f t="shared" si="32"/>
        <v>0</v>
      </c>
    </row>
    <row r="113" spans="1:9" x14ac:dyDescent="0.25">
      <c r="B113" s="41" t="s">
        <v>288</v>
      </c>
      <c r="C113" s="41" t="s">
        <v>289</v>
      </c>
      <c r="D113" s="13"/>
      <c r="E113" s="259">
        <v>5703643</v>
      </c>
      <c r="F113" s="14">
        <f t="shared" si="31"/>
        <v>5703643</v>
      </c>
      <c r="G113" s="13"/>
      <c r="H113" s="259">
        <v>5703643</v>
      </c>
      <c r="I113" s="14">
        <f t="shared" si="32"/>
        <v>5703643</v>
      </c>
    </row>
    <row r="114" spans="1:9" ht="31.5" x14ac:dyDescent="0.25">
      <c r="A114" s="2" t="s">
        <v>325</v>
      </c>
      <c r="B114" s="41" t="s">
        <v>290</v>
      </c>
      <c r="C114" s="41" t="s">
        <v>289</v>
      </c>
      <c r="D114" s="13"/>
      <c r="E114" s="13"/>
      <c r="F114" s="14">
        <f t="shared" si="31"/>
        <v>0</v>
      </c>
      <c r="G114" s="13"/>
      <c r="H114" s="13"/>
      <c r="I114" s="14">
        <f t="shared" si="32"/>
        <v>0</v>
      </c>
    </row>
    <row r="115" spans="1:9" hidden="1" x14ac:dyDescent="0.25">
      <c r="B115" s="41" t="s">
        <v>291</v>
      </c>
      <c r="C115" s="41" t="s">
        <v>292</v>
      </c>
      <c r="D115" s="13"/>
      <c r="E115" s="13"/>
      <c r="F115" s="14">
        <f t="shared" si="31"/>
        <v>0</v>
      </c>
      <c r="G115" s="13"/>
      <c r="H115" s="13"/>
      <c r="I115" s="14">
        <f t="shared" si="32"/>
        <v>0</v>
      </c>
    </row>
    <row r="116" spans="1:9" ht="31.5" hidden="1" x14ac:dyDescent="0.25">
      <c r="A116" s="2" t="s">
        <v>325</v>
      </c>
      <c r="B116" s="41" t="s">
        <v>293</v>
      </c>
      <c r="C116" s="41" t="s">
        <v>292</v>
      </c>
      <c r="D116" s="13"/>
      <c r="E116" s="13"/>
      <c r="F116" s="14">
        <f t="shared" si="31"/>
        <v>0</v>
      </c>
      <c r="G116" s="13"/>
      <c r="H116" s="13"/>
      <c r="I116" s="14">
        <f t="shared" si="32"/>
        <v>0</v>
      </c>
    </row>
    <row r="117" spans="1:9" x14ac:dyDescent="0.25">
      <c r="A117" s="2" t="s">
        <v>592</v>
      </c>
      <c r="B117" s="44" t="s">
        <v>294</v>
      </c>
      <c r="C117" s="44" t="s">
        <v>295</v>
      </c>
      <c r="D117" s="14">
        <f t="shared" ref="D117:I117" si="33">SUM(D113:D116)</f>
        <v>0</v>
      </c>
      <c r="E117" s="14">
        <f t="shared" si="33"/>
        <v>5703643</v>
      </c>
      <c r="F117" s="14">
        <f t="shared" si="33"/>
        <v>5703643</v>
      </c>
      <c r="G117" s="14">
        <f>SUM(G113:G116)</f>
        <v>0</v>
      </c>
      <c r="H117" s="14">
        <f>SUM(H113:H116)</f>
        <v>5703643</v>
      </c>
      <c r="I117" s="14">
        <f t="shared" si="33"/>
        <v>5703643</v>
      </c>
    </row>
    <row r="118" spans="1:9" hidden="1" x14ac:dyDescent="0.25">
      <c r="A118"/>
      <c r="B118" s="59" t="s">
        <v>296</v>
      </c>
      <c r="C118" s="41" t="s">
        <v>297</v>
      </c>
      <c r="D118" s="13"/>
      <c r="E118" s="13"/>
      <c r="F118" s="14">
        <f t="shared" ref="F118:F125" si="34">+E118+D118</f>
        <v>0</v>
      </c>
      <c r="G118" s="13"/>
      <c r="H118" s="13"/>
      <c r="I118" s="14">
        <f t="shared" ref="I118:I125" si="35">+H118+G118</f>
        <v>0</v>
      </c>
    </row>
    <row r="119" spans="1:9" hidden="1" x14ac:dyDescent="0.25">
      <c r="B119" s="59" t="s">
        <v>298</v>
      </c>
      <c r="C119" s="41" t="s">
        <v>299</v>
      </c>
      <c r="D119" s="13"/>
      <c r="E119" s="13"/>
      <c r="F119" s="14">
        <f t="shared" si="34"/>
        <v>0</v>
      </c>
      <c r="G119" s="13"/>
      <c r="H119" s="13"/>
      <c r="I119" s="14">
        <f t="shared" si="35"/>
        <v>0</v>
      </c>
    </row>
    <row r="120" spans="1:9" x14ac:dyDescent="0.25">
      <c r="A120" s="19" t="s">
        <v>598</v>
      </c>
      <c r="B120" s="59" t="s">
        <v>300</v>
      </c>
      <c r="C120" s="41" t="s">
        <v>301</v>
      </c>
      <c r="D120" s="13">
        <v>406554205</v>
      </c>
      <c r="E120" s="13">
        <v>0</v>
      </c>
      <c r="F120" s="14">
        <f t="shared" si="34"/>
        <v>406554205</v>
      </c>
      <c r="G120" s="13">
        <v>439076774</v>
      </c>
      <c r="H120" s="13">
        <v>0</v>
      </c>
      <c r="I120" s="14">
        <f t="shared" si="35"/>
        <v>439076774</v>
      </c>
    </row>
    <row r="121" spans="1:9" s="185" customFormat="1" x14ac:dyDescent="0.25">
      <c r="B121" s="186" t="s">
        <v>594</v>
      </c>
      <c r="C121" s="101"/>
      <c r="D121" s="251">
        <v>329003877</v>
      </c>
      <c r="E121" s="80">
        <v>0</v>
      </c>
      <c r="F121" s="93">
        <f t="shared" si="34"/>
        <v>329003877</v>
      </c>
      <c r="G121" s="251">
        <f>+G120-G122</f>
        <v>361526446</v>
      </c>
      <c r="H121" s="80">
        <v>0</v>
      </c>
      <c r="I121" s="93">
        <f t="shared" si="35"/>
        <v>361526446</v>
      </c>
    </row>
    <row r="122" spans="1:9" s="185" customFormat="1" x14ac:dyDescent="0.25">
      <c r="B122" s="187" t="s">
        <v>586</v>
      </c>
      <c r="C122" s="101"/>
      <c r="D122" s="251">
        <f>+D120-D121</f>
        <v>77550328</v>
      </c>
      <c r="E122" s="80">
        <f>+E120-E121</f>
        <v>0</v>
      </c>
      <c r="F122" s="93">
        <f t="shared" si="34"/>
        <v>77550328</v>
      </c>
      <c r="G122" s="251">
        <f>+D122</f>
        <v>77550328</v>
      </c>
      <c r="H122" s="80">
        <f>+H120-H121</f>
        <v>0</v>
      </c>
      <c r="I122" s="93">
        <f t="shared" si="35"/>
        <v>77550328</v>
      </c>
    </row>
    <row r="123" spans="1:9" hidden="1" x14ac:dyDescent="0.25">
      <c r="B123" s="59" t="s">
        <v>302</v>
      </c>
      <c r="C123" s="41" t="s">
        <v>303</v>
      </c>
      <c r="D123" s="13"/>
      <c r="E123" s="13"/>
      <c r="F123" s="14">
        <f t="shared" si="34"/>
        <v>0</v>
      </c>
      <c r="G123" s="13"/>
      <c r="H123" s="13"/>
      <c r="I123" s="14">
        <f t="shared" si="35"/>
        <v>0</v>
      </c>
    </row>
    <row r="124" spans="1:9" hidden="1" x14ac:dyDescent="0.25">
      <c r="B124" s="54" t="s">
        <v>304</v>
      </c>
      <c r="C124" s="41" t="s">
        <v>305</v>
      </c>
      <c r="D124" s="13"/>
      <c r="E124" s="13"/>
      <c r="F124" s="14">
        <f t="shared" si="34"/>
        <v>0</v>
      </c>
      <c r="G124" s="13"/>
      <c r="H124" s="13"/>
      <c r="I124" s="14">
        <f t="shared" si="35"/>
        <v>0</v>
      </c>
    </row>
    <row r="125" spans="1:9" hidden="1" x14ac:dyDescent="0.25">
      <c r="B125" s="54" t="s">
        <v>306</v>
      </c>
      <c r="C125" s="41" t="s">
        <v>307</v>
      </c>
      <c r="D125" s="13"/>
      <c r="E125" s="13"/>
      <c r="F125" s="14">
        <f t="shared" si="34"/>
        <v>0</v>
      </c>
      <c r="G125" s="13"/>
      <c r="H125" s="13"/>
      <c r="I125" s="14">
        <f t="shared" si="35"/>
        <v>0</v>
      </c>
    </row>
    <row r="126" spans="1:9" x14ac:dyDescent="0.25">
      <c r="B126" s="45" t="s">
        <v>308</v>
      </c>
      <c r="C126" s="44" t="s">
        <v>309</v>
      </c>
      <c r="D126" s="14">
        <f>SUM(D118:D125)+D117+D112+D111-D121-D122</f>
        <v>406554205</v>
      </c>
      <c r="E126" s="14">
        <f>SUM(E118:E125)+E117+E112+E111-E121-E122</f>
        <v>5703643</v>
      </c>
      <c r="F126" s="14">
        <f>SUM(F118:F124)+F117+F112+F111-F121-F122</f>
        <v>412257848</v>
      </c>
      <c r="G126" s="14">
        <f>SUM(G118:G125)+G117+G112+G111-G121-G122</f>
        <v>439076774</v>
      </c>
      <c r="H126" s="14">
        <f>SUM(H118:H125)+H117+H112+H111-H121-H122</f>
        <v>5703643</v>
      </c>
      <c r="I126" s="14">
        <f>SUM(I118:I124)+I117+I112+I111-I121-I122</f>
        <v>444780417</v>
      </c>
    </row>
    <row r="127" spans="1:9" hidden="1" x14ac:dyDescent="0.25">
      <c r="B127" s="59" t="s">
        <v>310</v>
      </c>
      <c r="C127" s="41" t="s">
        <v>311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4" t="s">
        <v>312</v>
      </c>
      <c r="C128" s="41" t="s">
        <v>313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4" t="s">
        <v>314</v>
      </c>
      <c r="C129" s="41" t="s">
        <v>315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2" t="s">
        <v>316</v>
      </c>
      <c r="C130" s="63" t="s">
        <v>317</v>
      </c>
      <c r="D130" s="57">
        <f>+D128+D127+D126+D129</f>
        <v>406554205</v>
      </c>
      <c r="E130" s="57">
        <f>+E128+E127+E126+E129</f>
        <v>5703643</v>
      </c>
      <c r="F130" s="57">
        <f>+F129+F127+F126</f>
        <v>412257848</v>
      </c>
      <c r="G130" s="57">
        <f>+G128+G127+G126+G129</f>
        <v>439076774</v>
      </c>
      <c r="H130" s="57">
        <f>+H128+H127+H126+H129</f>
        <v>5703643</v>
      </c>
      <c r="I130" s="57">
        <f>+I129+I127+I126</f>
        <v>444780417</v>
      </c>
    </row>
    <row r="131" spans="2:9" x14ac:dyDescent="0.25">
      <c r="B131" s="17" t="s">
        <v>318</v>
      </c>
      <c r="C131" s="17" t="s">
        <v>319</v>
      </c>
      <c r="D131" s="18">
        <f t="shared" ref="D131:I131" si="36">+D108+D130</f>
        <v>541746625</v>
      </c>
      <c r="E131" s="18">
        <f t="shared" si="36"/>
        <v>11602648</v>
      </c>
      <c r="F131" s="18">
        <f t="shared" si="36"/>
        <v>553349273</v>
      </c>
      <c r="G131" s="18">
        <f t="shared" si="36"/>
        <v>577035194</v>
      </c>
      <c r="H131" s="18">
        <f t="shared" si="36"/>
        <v>11602648</v>
      </c>
      <c r="I131" s="18">
        <f t="shared" si="36"/>
        <v>588637842</v>
      </c>
    </row>
    <row r="132" spans="2:9" x14ac:dyDescent="0.25">
      <c r="B132" s="2"/>
      <c r="C132" s="2"/>
      <c r="D132" s="3"/>
      <c r="E132" s="3"/>
      <c r="F132" s="65"/>
      <c r="G132" s="3"/>
      <c r="H132" s="3"/>
      <c r="I132" s="65"/>
    </row>
    <row r="133" spans="2:9" x14ac:dyDescent="0.25">
      <c r="B133" s="15" t="s">
        <v>320</v>
      </c>
      <c r="C133" s="15"/>
      <c r="D133" s="14">
        <f t="shared" ref="D133:I133" si="37">+D108-D58</f>
        <v>-406554205</v>
      </c>
      <c r="E133" s="14">
        <f t="shared" si="37"/>
        <v>-5703643</v>
      </c>
      <c r="F133" s="14">
        <f t="shared" si="37"/>
        <v>-412257848</v>
      </c>
      <c r="G133" s="14">
        <f t="shared" si="37"/>
        <v>-439076774</v>
      </c>
      <c r="H133" s="14">
        <f t="shared" si="37"/>
        <v>-5703643</v>
      </c>
      <c r="I133" s="14">
        <f t="shared" si="37"/>
        <v>-444780417</v>
      </c>
    </row>
    <row r="134" spans="2:9" x14ac:dyDescent="0.25">
      <c r="B134" s="15" t="s">
        <v>321</v>
      </c>
      <c r="C134" s="15"/>
      <c r="D134" s="14">
        <f t="shared" ref="D134:I134" si="38">+D130-D63</f>
        <v>406554205</v>
      </c>
      <c r="E134" s="14">
        <f t="shared" si="38"/>
        <v>5703643</v>
      </c>
      <c r="F134" s="14">
        <f t="shared" si="38"/>
        <v>412257848</v>
      </c>
      <c r="G134" s="14">
        <f t="shared" si="38"/>
        <v>439076774</v>
      </c>
      <c r="H134" s="14">
        <f t="shared" si="38"/>
        <v>5703643</v>
      </c>
      <c r="I134" s="14">
        <f t="shared" si="38"/>
        <v>444780417</v>
      </c>
    </row>
    <row r="135" spans="2:9" x14ac:dyDescent="0.25">
      <c r="B135" s="2"/>
      <c r="C135" s="2"/>
      <c r="D135" s="3"/>
      <c r="E135" s="3"/>
      <c r="F135" s="65"/>
      <c r="G135" s="3"/>
      <c r="H135" s="3"/>
      <c r="I135" s="65"/>
    </row>
    <row r="136" spans="2:9" x14ac:dyDescent="0.25">
      <c r="B136" s="70" t="s">
        <v>324</v>
      </c>
      <c r="C136" s="2"/>
      <c r="D136" s="3">
        <f t="shared" ref="D136:I136" si="39">+D131-D64</f>
        <v>0</v>
      </c>
      <c r="E136" s="3">
        <f t="shared" si="39"/>
        <v>0</v>
      </c>
      <c r="F136" s="3">
        <f t="shared" si="39"/>
        <v>0</v>
      </c>
      <c r="G136" s="3">
        <f t="shared" si="39"/>
        <v>0</v>
      </c>
      <c r="H136" s="3">
        <f t="shared" si="39"/>
        <v>0</v>
      </c>
      <c r="I136" s="3">
        <f t="shared" si="39"/>
        <v>0</v>
      </c>
    </row>
    <row r="137" spans="2:9" x14ac:dyDescent="0.25">
      <c r="B137" s="2"/>
      <c r="C137" s="2"/>
      <c r="D137" s="3"/>
      <c r="E137" s="3"/>
      <c r="F137" s="65"/>
      <c r="G137" s="3"/>
      <c r="H137" s="3"/>
      <c r="I137" s="65"/>
    </row>
    <row r="138" spans="2:9" x14ac:dyDescent="0.25">
      <c r="B138" s="2"/>
      <c r="C138" s="2"/>
      <c r="D138" s="3"/>
      <c r="E138" s="3"/>
      <c r="F138" s="65"/>
      <c r="G138" s="3"/>
      <c r="H138" s="3"/>
      <c r="I138" s="65"/>
    </row>
    <row r="139" spans="2:9" x14ac:dyDescent="0.25">
      <c r="B139" s="2"/>
      <c r="C139" s="2"/>
      <c r="D139" s="3"/>
      <c r="E139" s="3"/>
      <c r="F139" s="65"/>
      <c r="G139" s="3"/>
      <c r="H139" s="3"/>
      <c r="I139" s="65"/>
    </row>
    <row r="140" spans="2:9" x14ac:dyDescent="0.25">
      <c r="B140" s="2"/>
      <c r="C140" s="2"/>
      <c r="D140" s="3"/>
      <c r="E140" s="3"/>
      <c r="F140" s="65"/>
      <c r="G140" s="3"/>
      <c r="H140" s="3"/>
      <c r="I140" s="65"/>
    </row>
    <row r="141" spans="2:9" x14ac:dyDescent="0.25">
      <c r="B141" s="2"/>
      <c r="C141" s="2"/>
      <c r="D141" s="3"/>
      <c r="E141" s="3"/>
      <c r="F141" s="65"/>
      <c r="G141" s="3"/>
      <c r="H141" s="3"/>
      <c r="I141" s="65"/>
    </row>
    <row r="142" spans="2:9" x14ac:dyDescent="0.25">
      <c r="B142" s="2"/>
      <c r="C142" s="2"/>
      <c r="D142" s="3"/>
      <c r="E142" s="3"/>
      <c r="F142" s="65"/>
      <c r="G142" s="3"/>
      <c r="H142" s="3"/>
      <c r="I142" s="65"/>
    </row>
    <row r="143" spans="2:9" x14ac:dyDescent="0.25">
      <c r="B143" s="2"/>
      <c r="C143" s="2"/>
      <c r="D143" s="3"/>
      <c r="E143" s="3"/>
      <c r="F143" s="65"/>
      <c r="G143" s="3"/>
      <c r="H143" s="3"/>
      <c r="I143" s="65"/>
    </row>
    <row r="144" spans="2:9" x14ac:dyDescent="0.25">
      <c r="B144" s="2"/>
      <c r="C144" s="2"/>
      <c r="D144" s="3"/>
      <c r="E144" s="3"/>
      <c r="F144" s="65"/>
      <c r="G144" s="3"/>
      <c r="H144" s="3"/>
      <c r="I144" s="65"/>
    </row>
    <row r="145" spans="2:9" x14ac:dyDescent="0.25">
      <c r="B145" s="2"/>
      <c r="C145" s="2"/>
      <c r="D145" s="3"/>
      <c r="E145" s="3"/>
      <c r="F145" s="65"/>
      <c r="G145" s="3"/>
      <c r="H145" s="3"/>
      <c r="I145" s="65"/>
    </row>
    <row r="146" spans="2:9" x14ac:dyDescent="0.25">
      <c r="B146" s="2"/>
      <c r="C146" s="2"/>
      <c r="D146" s="3"/>
      <c r="E146" s="3"/>
      <c r="F146" s="65"/>
      <c r="G146" s="3"/>
      <c r="H146" s="3"/>
      <c r="I146" s="65"/>
    </row>
    <row r="147" spans="2:9" x14ac:dyDescent="0.25">
      <c r="B147" s="2"/>
      <c r="C147" s="2"/>
      <c r="D147" s="3"/>
      <c r="E147" s="3"/>
      <c r="F147" s="65"/>
      <c r="G147" s="3"/>
      <c r="H147" s="3"/>
      <c r="I147" s="65"/>
    </row>
    <row r="148" spans="2:9" x14ac:dyDescent="0.25">
      <c r="B148" s="2"/>
      <c r="C148" s="2"/>
      <c r="D148" s="3"/>
      <c r="E148" s="3"/>
      <c r="F148" s="65"/>
      <c r="G148" s="3"/>
      <c r="H148" s="3"/>
      <c r="I148" s="65"/>
    </row>
    <row r="149" spans="2:9" x14ac:dyDescent="0.25">
      <c r="B149" s="2"/>
      <c r="C149" s="2"/>
      <c r="D149" s="3"/>
      <c r="E149" s="3"/>
      <c r="F149" s="65"/>
      <c r="G149" s="3"/>
      <c r="H149" s="3"/>
      <c r="I149" s="65"/>
    </row>
    <row r="150" spans="2:9" x14ac:dyDescent="0.25">
      <c r="B150" s="2"/>
      <c r="C150" s="2"/>
      <c r="D150" s="3"/>
      <c r="E150" s="3"/>
      <c r="F150" s="65"/>
      <c r="G150" s="3"/>
      <c r="H150" s="3"/>
      <c r="I150" s="65"/>
    </row>
    <row r="151" spans="2:9" x14ac:dyDescent="0.25">
      <c r="B151" s="2"/>
      <c r="C151" s="2"/>
      <c r="D151" s="3"/>
      <c r="E151" s="3"/>
      <c r="F151" s="65"/>
      <c r="G151" s="3"/>
      <c r="H151" s="3"/>
      <c r="I151" s="65"/>
    </row>
    <row r="152" spans="2:9" x14ac:dyDescent="0.25">
      <c r="B152" s="2"/>
      <c r="C152" s="2"/>
      <c r="D152" s="3"/>
      <c r="E152" s="3"/>
      <c r="F152" s="65"/>
      <c r="G152" s="3"/>
      <c r="H152" s="3"/>
      <c r="I152" s="65"/>
    </row>
    <row r="153" spans="2:9" x14ac:dyDescent="0.25">
      <c r="B153" s="2"/>
      <c r="C153" s="2"/>
      <c r="D153" s="3"/>
      <c r="E153" s="3"/>
      <c r="F153" s="65"/>
      <c r="G153" s="3"/>
      <c r="H153" s="3"/>
      <c r="I153" s="65"/>
    </row>
    <row r="154" spans="2:9" x14ac:dyDescent="0.25">
      <c r="B154" s="2"/>
      <c r="C154" s="2"/>
      <c r="D154" s="3"/>
      <c r="E154" s="3"/>
      <c r="F154" s="65"/>
      <c r="G154" s="3"/>
      <c r="H154" s="3"/>
      <c r="I154" s="65"/>
    </row>
    <row r="155" spans="2:9" x14ac:dyDescent="0.25">
      <c r="B155" s="2"/>
      <c r="C155" s="2"/>
      <c r="D155" s="3"/>
      <c r="E155" s="3"/>
      <c r="F155" s="65"/>
      <c r="G155" s="3"/>
      <c r="H155" s="3"/>
      <c r="I155" s="65"/>
    </row>
    <row r="156" spans="2:9" x14ac:dyDescent="0.25">
      <c r="B156" s="2"/>
      <c r="C156" s="2"/>
      <c r="D156" s="3"/>
      <c r="E156" s="3"/>
      <c r="F156" s="65"/>
      <c r="G156" s="3"/>
      <c r="H156" s="3"/>
      <c r="I156" s="65"/>
    </row>
    <row r="157" spans="2:9" x14ac:dyDescent="0.25">
      <c r="B157" s="2"/>
      <c r="C157" s="2"/>
      <c r="D157" s="3"/>
      <c r="E157" s="3"/>
      <c r="F157" s="65"/>
      <c r="G157" s="3"/>
      <c r="H157" s="3"/>
      <c r="I157" s="65"/>
    </row>
    <row r="158" spans="2:9" x14ac:dyDescent="0.25">
      <c r="B158" s="2"/>
      <c r="C158" s="2"/>
      <c r="D158" s="3"/>
      <c r="E158" s="3"/>
      <c r="F158" s="65"/>
      <c r="G158" s="3"/>
      <c r="H158" s="3"/>
      <c r="I158" s="65"/>
    </row>
    <row r="159" spans="2:9" x14ac:dyDescent="0.25">
      <c r="B159" s="2"/>
      <c r="C159" s="2"/>
      <c r="D159" s="3"/>
      <c r="E159" s="3"/>
      <c r="F159" s="65"/>
      <c r="G159" s="3"/>
      <c r="H159" s="3"/>
      <c r="I159" s="65"/>
    </row>
    <row r="160" spans="2:9" x14ac:dyDescent="0.25">
      <c r="B160" s="2"/>
      <c r="C160" s="2"/>
      <c r="D160" s="3"/>
      <c r="E160" s="3"/>
      <c r="F160" s="65"/>
      <c r="G160" s="3"/>
      <c r="H160" s="3"/>
      <c r="I160" s="65"/>
    </row>
    <row r="161" spans="2:9" x14ac:dyDescent="0.25">
      <c r="B161" s="2"/>
      <c r="C161" s="2"/>
      <c r="D161" s="3"/>
      <c r="E161" s="3"/>
      <c r="F161" s="65"/>
      <c r="G161" s="3"/>
      <c r="H161" s="3"/>
      <c r="I161" s="65"/>
    </row>
    <row r="162" spans="2:9" x14ac:dyDescent="0.25">
      <c r="B162" s="2"/>
      <c r="C162" s="2"/>
      <c r="D162" s="3"/>
      <c r="E162" s="3"/>
      <c r="F162" s="65"/>
      <c r="G162" s="3"/>
      <c r="H162" s="3"/>
      <c r="I162" s="65"/>
    </row>
    <row r="163" spans="2:9" x14ac:dyDescent="0.25">
      <c r="B163" s="2"/>
      <c r="C163" s="2"/>
      <c r="D163" s="3"/>
      <c r="E163" s="3"/>
      <c r="F163" s="65"/>
      <c r="G163" s="3"/>
      <c r="H163" s="3"/>
      <c r="I163" s="65"/>
    </row>
    <row r="164" spans="2:9" x14ac:dyDescent="0.25">
      <c r="B164" s="2"/>
      <c r="C164" s="2"/>
      <c r="D164" s="3"/>
      <c r="E164" s="3"/>
      <c r="F164" s="65"/>
      <c r="G164" s="3"/>
      <c r="H164" s="3"/>
      <c r="I164" s="65"/>
    </row>
    <row r="165" spans="2:9" x14ac:dyDescent="0.25">
      <c r="B165" s="2"/>
      <c r="C165" s="2"/>
      <c r="D165" s="3"/>
      <c r="E165" s="3"/>
      <c r="F165" s="65"/>
      <c r="G165" s="3"/>
      <c r="H165" s="3"/>
      <c r="I165" s="65"/>
    </row>
    <row r="166" spans="2:9" x14ac:dyDescent="0.25">
      <c r="B166" s="2"/>
      <c r="C166" s="2"/>
      <c r="D166" s="3"/>
      <c r="E166" s="3"/>
      <c r="F166" s="65"/>
      <c r="G166" s="3"/>
      <c r="H166" s="3"/>
      <c r="I166" s="65"/>
    </row>
    <row r="167" spans="2:9" x14ac:dyDescent="0.25">
      <c r="B167" s="2"/>
      <c r="C167" s="2"/>
      <c r="D167" s="3"/>
      <c r="E167" s="3"/>
      <c r="F167" s="65"/>
      <c r="G167" s="3"/>
      <c r="H167" s="3"/>
      <c r="I167" s="65"/>
    </row>
    <row r="168" spans="2:9" x14ac:dyDescent="0.25">
      <c r="B168" s="2"/>
      <c r="C168" s="2"/>
      <c r="D168" s="3"/>
      <c r="E168" s="3"/>
      <c r="F168" s="65"/>
      <c r="G168" s="3"/>
      <c r="H168" s="3"/>
      <c r="I168" s="65"/>
    </row>
    <row r="169" spans="2:9" x14ac:dyDescent="0.25">
      <c r="B169" s="2"/>
      <c r="C169" s="2"/>
      <c r="D169" s="3"/>
      <c r="E169" s="3"/>
      <c r="F169" s="65"/>
      <c r="G169" s="3"/>
      <c r="H169" s="3"/>
      <c r="I169" s="65"/>
    </row>
    <row r="170" spans="2:9" x14ac:dyDescent="0.25">
      <c r="B170" s="2"/>
      <c r="C170" s="2"/>
      <c r="D170" s="3"/>
      <c r="E170" s="3"/>
      <c r="F170" s="65"/>
      <c r="G170" s="3"/>
      <c r="H170" s="3"/>
      <c r="I170" s="65"/>
    </row>
    <row r="171" spans="2:9" x14ac:dyDescent="0.25">
      <c r="B171" s="2"/>
      <c r="C171" s="2"/>
      <c r="D171" s="3"/>
      <c r="E171" s="3"/>
      <c r="F171" s="65"/>
      <c r="G171" s="3"/>
      <c r="H171" s="3"/>
      <c r="I171" s="65"/>
    </row>
    <row r="172" spans="2:9" x14ac:dyDescent="0.25">
      <c r="B172" s="2"/>
      <c r="C172" s="2"/>
      <c r="D172" s="3"/>
      <c r="E172" s="3"/>
      <c r="F172" s="65"/>
      <c r="G172" s="3"/>
      <c r="H172" s="3"/>
      <c r="I172" s="65"/>
    </row>
    <row r="173" spans="2:9" x14ac:dyDescent="0.25">
      <c r="B173" s="2"/>
      <c r="C173" s="2"/>
      <c r="D173" s="3"/>
      <c r="E173" s="3"/>
      <c r="F173" s="65"/>
      <c r="G173" s="3"/>
      <c r="H173" s="3"/>
      <c r="I173" s="65"/>
    </row>
    <row r="174" spans="2:9" x14ac:dyDescent="0.25">
      <c r="B174" s="2"/>
      <c r="C174" s="2"/>
      <c r="D174" s="3"/>
      <c r="E174" s="3"/>
      <c r="F174" s="65"/>
      <c r="G174" s="3"/>
      <c r="H174" s="3"/>
      <c r="I174" s="65"/>
    </row>
    <row r="175" spans="2:9" x14ac:dyDescent="0.25">
      <c r="B175" s="2"/>
      <c r="C175" s="2"/>
      <c r="D175" s="3"/>
      <c r="E175" s="3"/>
      <c r="F175" s="65"/>
      <c r="G175" s="3"/>
      <c r="H175" s="3"/>
      <c r="I175" s="65"/>
    </row>
    <row r="176" spans="2:9" x14ac:dyDescent="0.25">
      <c r="B176" s="2"/>
      <c r="C176" s="2"/>
      <c r="D176" s="3"/>
      <c r="E176" s="3"/>
      <c r="F176" s="65"/>
      <c r="G176" s="3"/>
      <c r="H176" s="3"/>
      <c r="I176" s="65"/>
    </row>
    <row r="177" spans="2:9" x14ac:dyDescent="0.25">
      <c r="B177" s="2"/>
      <c r="C177" s="2"/>
      <c r="D177" s="3"/>
      <c r="E177" s="3"/>
      <c r="F177" s="65"/>
      <c r="G177" s="3"/>
      <c r="H177" s="3"/>
      <c r="I177" s="65"/>
    </row>
    <row r="178" spans="2:9" x14ac:dyDescent="0.25">
      <c r="B178" s="2"/>
      <c r="C178" s="2"/>
      <c r="D178" s="3"/>
      <c r="E178" s="3"/>
      <c r="F178" s="65"/>
      <c r="G178" s="3"/>
      <c r="H178" s="3"/>
      <c r="I178" s="65"/>
    </row>
    <row r="179" spans="2:9" x14ac:dyDescent="0.25">
      <c r="B179" s="2"/>
      <c r="C179" s="2"/>
      <c r="D179" s="3"/>
      <c r="E179" s="3"/>
      <c r="F179" s="65"/>
      <c r="G179" s="3"/>
      <c r="H179" s="3"/>
      <c r="I179" s="65"/>
    </row>
    <row r="180" spans="2:9" x14ac:dyDescent="0.25">
      <c r="B180" s="2"/>
      <c r="C180" s="2"/>
      <c r="D180" s="3"/>
      <c r="E180" s="3"/>
      <c r="F180" s="65"/>
      <c r="G180" s="3"/>
      <c r="H180" s="3"/>
      <c r="I180" s="65"/>
    </row>
    <row r="181" spans="2:9" x14ac:dyDescent="0.25">
      <c r="B181" s="2"/>
      <c r="C181" s="2"/>
      <c r="D181" s="3"/>
      <c r="E181" s="3"/>
      <c r="F181" s="65"/>
      <c r="G181" s="3"/>
      <c r="H181" s="3"/>
      <c r="I181" s="65"/>
    </row>
    <row r="182" spans="2:9" x14ac:dyDescent="0.25">
      <c r="B182" s="2"/>
      <c r="C182" s="2"/>
      <c r="D182" s="3"/>
      <c r="E182" s="3"/>
      <c r="F182" s="65"/>
      <c r="G182" s="3"/>
      <c r="H182" s="3"/>
      <c r="I182" s="65"/>
    </row>
    <row r="183" spans="2:9" x14ac:dyDescent="0.25">
      <c r="B183" s="2"/>
      <c r="C183" s="2"/>
      <c r="D183" s="3"/>
      <c r="E183" s="3"/>
      <c r="F183" s="65"/>
      <c r="G183" s="3"/>
      <c r="H183" s="3"/>
      <c r="I183" s="65"/>
    </row>
    <row r="184" spans="2:9" x14ac:dyDescent="0.25">
      <c r="B184" s="2"/>
      <c r="C184" s="2"/>
      <c r="D184" s="3"/>
      <c r="E184" s="3"/>
      <c r="F184" s="65"/>
      <c r="G184" s="3"/>
      <c r="H184" s="3"/>
      <c r="I184" s="65"/>
    </row>
    <row r="185" spans="2:9" x14ac:dyDescent="0.25">
      <c r="B185" s="2"/>
      <c r="C185" s="2"/>
      <c r="D185" s="3"/>
      <c r="E185" s="3"/>
      <c r="F185" s="65"/>
      <c r="G185" s="3"/>
      <c r="H185" s="3"/>
      <c r="I185" s="65"/>
    </row>
    <row r="186" spans="2:9" x14ac:dyDescent="0.25">
      <c r="B186" s="2"/>
      <c r="C186" s="2"/>
      <c r="D186" s="3"/>
      <c r="E186" s="3"/>
      <c r="F186" s="65"/>
      <c r="G186" s="3"/>
      <c r="H186" s="3"/>
      <c r="I186" s="65"/>
    </row>
    <row r="187" spans="2:9" x14ac:dyDescent="0.25">
      <c r="B187" s="2"/>
      <c r="C187" s="2"/>
      <c r="D187" s="3"/>
      <c r="E187" s="3"/>
      <c r="F187" s="65"/>
      <c r="G187" s="3"/>
      <c r="H187" s="3"/>
      <c r="I187" s="65"/>
    </row>
    <row r="188" spans="2:9" x14ac:dyDescent="0.25">
      <c r="B188" s="2"/>
      <c r="C188" s="2"/>
      <c r="D188" s="3"/>
      <c r="E188" s="3"/>
      <c r="F188" s="65"/>
      <c r="G188" s="3"/>
      <c r="H188" s="3"/>
      <c r="I188" s="65"/>
    </row>
    <row r="189" spans="2:9" x14ac:dyDescent="0.25">
      <c r="B189" s="2"/>
      <c r="C189" s="2"/>
      <c r="D189" s="3"/>
      <c r="E189" s="3"/>
      <c r="F189" s="65"/>
      <c r="G189" s="3"/>
      <c r="H189" s="3"/>
      <c r="I189" s="65"/>
    </row>
    <row r="190" spans="2:9" x14ac:dyDescent="0.25">
      <c r="B190" s="2"/>
      <c r="C190" s="2"/>
      <c r="D190" s="3"/>
      <c r="E190" s="3"/>
      <c r="F190" s="65"/>
      <c r="G190" s="3"/>
      <c r="H190" s="3"/>
      <c r="I190" s="65"/>
    </row>
    <row r="191" spans="2:9" x14ac:dyDescent="0.25">
      <c r="B191" s="2"/>
      <c r="C191" s="2"/>
      <c r="D191" s="3"/>
      <c r="E191" s="3"/>
      <c r="F191" s="65"/>
      <c r="G191" s="3"/>
      <c r="H191" s="3"/>
      <c r="I191" s="65"/>
    </row>
    <row r="192" spans="2:9" x14ac:dyDescent="0.25">
      <c r="B192" s="2"/>
      <c r="C192" s="2"/>
      <c r="D192" s="3"/>
      <c r="E192" s="3"/>
      <c r="F192" s="65"/>
      <c r="G192" s="3"/>
      <c r="H192" s="3"/>
      <c r="I192" s="65"/>
    </row>
    <row r="193" spans="2:9" x14ac:dyDescent="0.25">
      <c r="B193" s="2"/>
      <c r="C193" s="2"/>
      <c r="D193" s="3"/>
      <c r="E193" s="3"/>
      <c r="F193" s="65"/>
      <c r="G193" s="3"/>
      <c r="H193" s="3"/>
      <c r="I193" s="65"/>
    </row>
    <row r="194" spans="2:9" x14ac:dyDescent="0.25">
      <c r="B194" s="2"/>
      <c r="C194" s="2"/>
      <c r="D194" s="3"/>
      <c r="E194" s="3"/>
      <c r="F194" s="65"/>
      <c r="G194" s="3"/>
      <c r="H194" s="3"/>
      <c r="I194" s="65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8402777777777781" right="0.31319444444444444" top="0.59027777777777779" bottom="0.51180555555555551" header="0.51180555555555551" footer="0.31527777777777777"/>
  <pageSetup paperSize="9" scale="56" firstPageNumber="0" orientation="portrait" horizontalDpi="300" verticalDpi="300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L260"/>
  <sheetViews>
    <sheetView view="pageBreakPreview" topLeftCell="D1" zoomScale="80" zoomScaleSheetLayoutView="80" workbookViewId="0">
      <selection activeCell="I1" sqref="I1"/>
    </sheetView>
  </sheetViews>
  <sheetFormatPr defaultColWidth="11.5703125" defaultRowHeight="15.75" x14ac:dyDescent="0.25"/>
  <cols>
    <col min="1" max="1" width="11" style="19" customWidth="1"/>
    <col min="2" max="2" width="66.7109375" style="19" customWidth="1"/>
    <col min="3" max="3" width="10.28515625" style="19" customWidth="1"/>
    <col min="4" max="5" width="14.7109375" style="19" customWidth="1"/>
    <col min="6" max="6" width="14.7109375" style="20" customWidth="1"/>
    <col min="7" max="7" width="14.42578125" style="19" customWidth="1"/>
    <col min="8" max="8" width="12.42578125" style="19" customWidth="1"/>
    <col min="9" max="9" width="14.5703125" style="20" customWidth="1"/>
    <col min="10" max="246" width="9.140625" style="19" customWidth="1"/>
  </cols>
  <sheetData>
    <row r="1" spans="2:9" s="2" customFormat="1" ht="18.75" x14ac:dyDescent="0.25">
      <c r="I1" s="4" t="s">
        <v>911</v>
      </c>
    </row>
    <row r="2" spans="2:9" s="2" customFormat="1" ht="20.25" x14ac:dyDescent="0.3">
      <c r="B2" s="180" t="s">
        <v>4</v>
      </c>
      <c r="I2" s="5" t="str">
        <f>+'11 Szoci'!I2</f>
        <v>a 2/2020.(II.27. ) önkormányzati rendelethez</v>
      </c>
    </row>
    <row r="3" spans="2:9" s="2" customFormat="1" x14ac:dyDescent="0.25">
      <c r="B3" s="31" t="s">
        <v>768</v>
      </c>
      <c r="C3" s="25"/>
      <c r="D3" s="25"/>
      <c r="E3" s="25"/>
      <c r="F3" s="26"/>
      <c r="G3" s="25"/>
      <c r="H3" s="25"/>
      <c r="I3" s="26"/>
    </row>
    <row r="4" spans="2:9" s="2" customFormat="1" x14ac:dyDescent="0.25">
      <c r="B4" s="29" t="s">
        <v>717</v>
      </c>
      <c r="C4" s="30"/>
      <c r="D4" s="30"/>
      <c r="E4" s="30"/>
      <c r="F4" s="31"/>
      <c r="G4" s="30"/>
      <c r="H4" s="30"/>
      <c r="I4" s="31"/>
    </row>
    <row r="5" spans="2:9" ht="15.75" customHeight="1" x14ac:dyDescent="0.25">
      <c r="B5" s="34"/>
      <c r="D5" s="583" t="s">
        <v>6</v>
      </c>
      <c r="E5" s="583"/>
      <c r="F5" s="583"/>
      <c r="G5" s="583" t="s">
        <v>7</v>
      </c>
      <c r="H5" s="583"/>
      <c r="I5" s="583"/>
    </row>
    <row r="6" spans="2:9" ht="47.25" x14ac:dyDescent="0.25">
      <c r="B6" s="8" t="s">
        <v>8</v>
      </c>
      <c r="C6" s="35" t="s">
        <v>33</v>
      </c>
      <c r="D6" s="36" t="s">
        <v>9</v>
      </c>
      <c r="E6" s="36" t="s">
        <v>10</v>
      </c>
      <c r="F6" s="35" t="s">
        <v>515</v>
      </c>
      <c r="G6" s="36" t="s">
        <v>9</v>
      </c>
      <c r="H6" s="36" t="s">
        <v>10</v>
      </c>
      <c r="I6" s="35" t="s">
        <v>515</v>
      </c>
    </row>
    <row r="7" spans="2:9" x14ac:dyDescent="0.25">
      <c r="B7" s="39" t="s">
        <v>34</v>
      </c>
      <c r="C7" s="40" t="s">
        <v>35</v>
      </c>
      <c r="D7" s="13">
        <v>311107294</v>
      </c>
      <c r="E7" s="13"/>
      <c r="F7" s="14">
        <f>+D7+E7</f>
        <v>311107294</v>
      </c>
      <c r="G7" s="13">
        <v>309790486</v>
      </c>
      <c r="H7" s="13"/>
      <c r="I7" s="14">
        <f>+G7+H7</f>
        <v>309790486</v>
      </c>
    </row>
    <row r="8" spans="2:9" x14ac:dyDescent="0.25">
      <c r="B8" s="41" t="s">
        <v>36</v>
      </c>
      <c r="C8" s="40" t="s">
        <v>37</v>
      </c>
      <c r="D8" s="13">
        <v>1680000</v>
      </c>
      <c r="E8" s="13"/>
      <c r="F8" s="14">
        <f>+D8+E8</f>
        <v>1680000</v>
      </c>
      <c r="G8" s="13">
        <v>3570000</v>
      </c>
      <c r="H8" s="13"/>
      <c r="I8" s="14">
        <f>+G8+H8</f>
        <v>3570000</v>
      </c>
    </row>
    <row r="9" spans="2:9" x14ac:dyDescent="0.25">
      <c r="B9" s="42" t="s">
        <v>38</v>
      </c>
      <c r="C9" s="43" t="s">
        <v>39</v>
      </c>
      <c r="D9" s="14">
        <f t="shared" ref="D9:I9" si="0">SUM(D7:D8)</f>
        <v>312787294</v>
      </c>
      <c r="E9" s="14">
        <f t="shared" si="0"/>
        <v>0</v>
      </c>
      <c r="F9" s="14">
        <f t="shared" si="0"/>
        <v>312787294</v>
      </c>
      <c r="G9" s="14">
        <f t="shared" si="0"/>
        <v>313360486</v>
      </c>
      <c r="H9" s="14">
        <f t="shared" si="0"/>
        <v>0</v>
      </c>
      <c r="I9" s="14">
        <f t="shared" si="0"/>
        <v>313360486</v>
      </c>
    </row>
    <row r="10" spans="2:9" x14ac:dyDescent="0.25">
      <c r="B10" s="44" t="s">
        <v>40</v>
      </c>
      <c r="C10" s="43" t="s">
        <v>41</v>
      </c>
      <c r="D10" s="13">
        <v>53554817</v>
      </c>
      <c r="E10" s="13"/>
      <c r="F10" s="14">
        <f t="shared" ref="F10:F15" si="1">+D10+E10</f>
        <v>53554817</v>
      </c>
      <c r="G10" s="13">
        <v>53655131</v>
      </c>
      <c r="H10" s="13"/>
      <c r="I10" s="14">
        <f t="shared" ref="I10:I15" si="2">+G10+H10</f>
        <v>53655131</v>
      </c>
    </row>
    <row r="11" spans="2:9" x14ac:dyDescent="0.25">
      <c r="B11" s="41" t="s">
        <v>42</v>
      </c>
      <c r="C11" s="40" t="s">
        <v>43</v>
      </c>
      <c r="D11" s="13">
        <v>123724269</v>
      </c>
      <c r="E11" s="13"/>
      <c r="F11" s="14">
        <f t="shared" si="1"/>
        <v>123724269</v>
      </c>
      <c r="G11" s="13">
        <v>123724269</v>
      </c>
      <c r="H11" s="13"/>
      <c r="I11" s="14">
        <f t="shared" si="2"/>
        <v>123724269</v>
      </c>
    </row>
    <row r="12" spans="2:9" x14ac:dyDescent="0.25">
      <c r="B12" s="41" t="s">
        <v>44</v>
      </c>
      <c r="C12" s="40" t="s">
        <v>45</v>
      </c>
      <c r="D12" s="13">
        <v>1496000</v>
      </c>
      <c r="E12" s="13"/>
      <c r="F12" s="14">
        <f t="shared" si="1"/>
        <v>1496000</v>
      </c>
      <c r="G12" s="13">
        <v>1496000</v>
      </c>
      <c r="H12" s="13"/>
      <c r="I12" s="14">
        <f t="shared" si="2"/>
        <v>1496000</v>
      </c>
    </row>
    <row r="13" spans="2:9" x14ac:dyDescent="0.25">
      <c r="B13" s="41" t="s">
        <v>46</v>
      </c>
      <c r="C13" s="40" t="s">
        <v>47</v>
      </c>
      <c r="D13" s="13">
        <v>31466882</v>
      </c>
      <c r="E13" s="13"/>
      <c r="F13" s="14">
        <f t="shared" si="1"/>
        <v>31466882</v>
      </c>
      <c r="G13" s="13">
        <v>31466882</v>
      </c>
      <c r="H13" s="13"/>
      <c r="I13" s="14">
        <f t="shared" si="2"/>
        <v>31466882</v>
      </c>
    </row>
    <row r="14" spans="2:9" x14ac:dyDescent="0.25">
      <c r="B14" s="41" t="s">
        <v>48</v>
      </c>
      <c r="C14" s="40" t="s">
        <v>49</v>
      </c>
      <c r="D14" s="13">
        <v>260000</v>
      </c>
      <c r="E14" s="13"/>
      <c r="F14" s="14">
        <f t="shared" si="1"/>
        <v>260000</v>
      </c>
      <c r="G14" s="13">
        <v>260000</v>
      </c>
      <c r="H14" s="13"/>
      <c r="I14" s="14">
        <f t="shared" si="2"/>
        <v>260000</v>
      </c>
    </row>
    <row r="15" spans="2:9" x14ac:dyDescent="0.25">
      <c r="B15" s="41" t="s">
        <v>50</v>
      </c>
      <c r="C15" s="40" t="s">
        <v>51</v>
      </c>
      <c r="D15" s="13">
        <v>41635784</v>
      </c>
      <c r="E15" s="13"/>
      <c r="F15" s="14">
        <f t="shared" si="1"/>
        <v>41635784</v>
      </c>
      <c r="G15" s="13">
        <v>41635784</v>
      </c>
      <c r="H15" s="13"/>
      <c r="I15" s="14">
        <f t="shared" si="2"/>
        <v>41635784</v>
      </c>
    </row>
    <row r="16" spans="2:9" x14ac:dyDescent="0.25">
      <c r="B16" s="44" t="s">
        <v>52</v>
      </c>
      <c r="C16" s="43" t="s">
        <v>53</v>
      </c>
      <c r="D16" s="14">
        <f t="shared" ref="D16:I16" si="3">SUM(D11:D15)</f>
        <v>198582935</v>
      </c>
      <c r="E16" s="14">
        <f t="shared" si="3"/>
        <v>0</v>
      </c>
      <c r="F16" s="14">
        <f t="shared" si="3"/>
        <v>198582935</v>
      </c>
      <c r="G16" s="14">
        <f t="shared" si="3"/>
        <v>198582935</v>
      </c>
      <c r="H16" s="14">
        <f t="shared" si="3"/>
        <v>0</v>
      </c>
      <c r="I16" s="14">
        <f t="shared" si="3"/>
        <v>198582935</v>
      </c>
    </row>
    <row r="17" spans="2:9" x14ac:dyDescent="0.25">
      <c r="B17" s="45" t="s">
        <v>54</v>
      </c>
      <c r="C17" s="43" t="s">
        <v>55</v>
      </c>
      <c r="D17" s="13"/>
      <c r="E17" s="13"/>
      <c r="F17" s="14">
        <f t="shared" ref="F17:F31" si="4">+D17+E17</f>
        <v>0</v>
      </c>
      <c r="G17" s="13"/>
      <c r="H17" s="13"/>
      <c r="I17" s="14">
        <f t="shared" ref="I17:I31" si="5">+G17+H17</f>
        <v>0</v>
      </c>
    </row>
    <row r="18" spans="2:9" hidden="1" x14ac:dyDescent="0.25">
      <c r="B18" s="46" t="s">
        <v>56</v>
      </c>
      <c r="C18" s="40" t="s">
        <v>57</v>
      </c>
      <c r="D18" s="13"/>
      <c r="E18" s="13"/>
      <c r="F18" s="14">
        <f t="shared" si="4"/>
        <v>0</v>
      </c>
      <c r="G18" s="13"/>
      <c r="H18" s="13"/>
      <c r="I18" s="14">
        <f t="shared" si="5"/>
        <v>0</v>
      </c>
    </row>
    <row r="19" spans="2:9" hidden="1" x14ac:dyDescent="0.25">
      <c r="B19" s="46" t="s">
        <v>58</v>
      </c>
      <c r="C19" s="40" t="s">
        <v>59</v>
      </c>
      <c r="D19" s="13"/>
      <c r="E19" s="13"/>
      <c r="F19" s="14">
        <f t="shared" si="4"/>
        <v>0</v>
      </c>
      <c r="G19" s="13"/>
      <c r="H19" s="13"/>
      <c r="I19" s="14">
        <f t="shared" si="5"/>
        <v>0</v>
      </c>
    </row>
    <row r="20" spans="2:9" ht="31.5" hidden="1" x14ac:dyDescent="0.25">
      <c r="B20" s="46" t="s">
        <v>60</v>
      </c>
      <c r="C20" s="40" t="s">
        <v>61</v>
      </c>
      <c r="D20" s="13"/>
      <c r="E20" s="13"/>
      <c r="F20" s="14">
        <f t="shared" si="4"/>
        <v>0</v>
      </c>
      <c r="G20" s="13"/>
      <c r="H20" s="13"/>
      <c r="I20" s="14">
        <f t="shared" si="5"/>
        <v>0</v>
      </c>
    </row>
    <row r="21" spans="2:9" ht="31.5" hidden="1" x14ac:dyDescent="0.25">
      <c r="B21" s="46" t="s">
        <v>62</v>
      </c>
      <c r="C21" s="40" t="s">
        <v>63</v>
      </c>
      <c r="D21" s="13"/>
      <c r="E21" s="13"/>
      <c r="F21" s="14">
        <f t="shared" si="4"/>
        <v>0</v>
      </c>
      <c r="G21" s="13"/>
      <c r="H21" s="13"/>
      <c r="I21" s="14">
        <f t="shared" si="5"/>
        <v>0</v>
      </c>
    </row>
    <row r="22" spans="2:9" ht="31.5" hidden="1" x14ac:dyDescent="0.25">
      <c r="B22" s="46" t="s">
        <v>587</v>
      </c>
      <c r="C22" s="40" t="s">
        <v>65</v>
      </c>
      <c r="D22" s="13"/>
      <c r="E22" s="13"/>
      <c r="F22" s="14">
        <f t="shared" si="4"/>
        <v>0</v>
      </c>
      <c r="G22" s="13"/>
      <c r="H22" s="13"/>
      <c r="I22" s="14">
        <f t="shared" si="5"/>
        <v>0</v>
      </c>
    </row>
    <row r="23" spans="2:9" hidden="1" x14ac:dyDescent="0.25">
      <c r="B23" s="46" t="s">
        <v>66</v>
      </c>
      <c r="C23" s="40" t="s">
        <v>67</v>
      </c>
      <c r="D23" s="13"/>
      <c r="E23" s="13"/>
      <c r="F23" s="14">
        <f t="shared" si="4"/>
        <v>0</v>
      </c>
      <c r="G23" s="13"/>
      <c r="H23" s="13"/>
      <c r="I23" s="14">
        <f t="shared" si="5"/>
        <v>0</v>
      </c>
    </row>
    <row r="24" spans="2:9" ht="31.5" hidden="1" x14ac:dyDescent="0.25">
      <c r="B24" s="46" t="s">
        <v>68</v>
      </c>
      <c r="C24" s="40" t="s">
        <v>69</v>
      </c>
      <c r="D24" s="13"/>
      <c r="E24" s="13"/>
      <c r="F24" s="14">
        <f t="shared" si="4"/>
        <v>0</v>
      </c>
      <c r="G24" s="13"/>
      <c r="H24" s="13"/>
      <c r="I24" s="14">
        <f t="shared" si="5"/>
        <v>0</v>
      </c>
    </row>
    <row r="25" spans="2:9" ht="31.5" hidden="1" x14ac:dyDescent="0.25">
      <c r="B25" s="46" t="s">
        <v>70</v>
      </c>
      <c r="C25" s="40" t="s">
        <v>71</v>
      </c>
      <c r="D25" s="13"/>
      <c r="E25" s="13"/>
      <c r="F25" s="14">
        <f t="shared" si="4"/>
        <v>0</v>
      </c>
      <c r="G25" s="13"/>
      <c r="H25" s="13"/>
      <c r="I25" s="14">
        <f t="shared" si="5"/>
        <v>0</v>
      </c>
    </row>
    <row r="26" spans="2:9" hidden="1" x14ac:dyDescent="0.25">
      <c r="B26" s="46" t="s">
        <v>72</v>
      </c>
      <c r="C26" s="40" t="s">
        <v>73</v>
      </c>
      <c r="D26" s="13"/>
      <c r="E26" s="13"/>
      <c r="F26" s="14">
        <f t="shared" si="4"/>
        <v>0</v>
      </c>
      <c r="G26" s="13"/>
      <c r="H26" s="13"/>
      <c r="I26" s="14">
        <f t="shared" si="5"/>
        <v>0</v>
      </c>
    </row>
    <row r="27" spans="2:9" hidden="1" x14ac:dyDescent="0.25">
      <c r="B27" s="47" t="s">
        <v>74</v>
      </c>
      <c r="C27" s="40" t="s">
        <v>75</v>
      </c>
      <c r="D27" s="13"/>
      <c r="E27" s="13"/>
      <c r="F27" s="14">
        <f t="shared" si="4"/>
        <v>0</v>
      </c>
      <c r="G27" s="13"/>
      <c r="H27" s="13"/>
      <c r="I27" s="14">
        <f t="shared" si="5"/>
        <v>0</v>
      </c>
    </row>
    <row r="28" spans="2:9" hidden="1" x14ac:dyDescent="0.25">
      <c r="B28" s="47" t="s">
        <v>588</v>
      </c>
      <c r="C28" s="40" t="s">
        <v>77</v>
      </c>
      <c r="D28" s="13"/>
      <c r="E28" s="13"/>
      <c r="F28" s="14">
        <f t="shared" si="4"/>
        <v>0</v>
      </c>
      <c r="G28" s="13"/>
      <c r="H28" s="13"/>
      <c r="I28" s="14">
        <f t="shared" si="5"/>
        <v>0</v>
      </c>
    </row>
    <row r="29" spans="2:9" hidden="1" x14ac:dyDescent="0.25">
      <c r="B29" s="46" t="s">
        <v>78</v>
      </c>
      <c r="C29" s="40" t="s">
        <v>79</v>
      </c>
      <c r="D29" s="13"/>
      <c r="E29" s="13"/>
      <c r="F29" s="14">
        <f t="shared" si="4"/>
        <v>0</v>
      </c>
      <c r="G29" s="13"/>
      <c r="H29" s="13"/>
      <c r="I29" s="14">
        <f t="shared" si="5"/>
        <v>0</v>
      </c>
    </row>
    <row r="30" spans="2:9" hidden="1" x14ac:dyDescent="0.25">
      <c r="B30" s="47" t="s">
        <v>80</v>
      </c>
      <c r="C30" s="40" t="s">
        <v>81</v>
      </c>
      <c r="D30" s="13"/>
      <c r="E30" s="13"/>
      <c r="F30" s="14">
        <f t="shared" si="4"/>
        <v>0</v>
      </c>
      <c r="G30" s="13"/>
      <c r="H30" s="13"/>
      <c r="I30" s="14">
        <f t="shared" si="5"/>
        <v>0</v>
      </c>
    </row>
    <row r="31" spans="2:9" hidden="1" x14ac:dyDescent="0.25">
      <c r="B31" s="47" t="s">
        <v>82</v>
      </c>
      <c r="C31" s="40" t="s">
        <v>81</v>
      </c>
      <c r="D31" s="13"/>
      <c r="E31" s="13"/>
      <c r="F31" s="14">
        <f t="shared" si="4"/>
        <v>0</v>
      </c>
      <c r="G31" s="13"/>
      <c r="H31" s="13"/>
      <c r="I31" s="14">
        <f t="shared" si="5"/>
        <v>0</v>
      </c>
    </row>
    <row r="32" spans="2:9" s="20" customFormat="1" x14ac:dyDescent="0.25">
      <c r="B32" s="45" t="s">
        <v>83</v>
      </c>
      <c r="C32" s="43" t="s">
        <v>84</v>
      </c>
      <c r="D32" s="14">
        <f t="shared" ref="D32:I32" si="6">SUM(D18:D31)</f>
        <v>0</v>
      </c>
      <c r="E32" s="14">
        <f t="shared" si="6"/>
        <v>0</v>
      </c>
      <c r="F32" s="14">
        <f t="shared" si="6"/>
        <v>0</v>
      </c>
      <c r="G32" s="14">
        <f t="shared" si="6"/>
        <v>0</v>
      </c>
      <c r="H32" s="14">
        <f t="shared" si="6"/>
        <v>0</v>
      </c>
      <c r="I32" s="14">
        <f t="shared" si="6"/>
        <v>0</v>
      </c>
    </row>
    <row r="33" spans="2:9" x14ac:dyDescent="0.25">
      <c r="B33" s="48" t="s">
        <v>85</v>
      </c>
      <c r="C33" s="49" t="s">
        <v>86</v>
      </c>
      <c r="D33" s="50">
        <f>+D32+D17+D16+D10+D9</f>
        <v>564925046</v>
      </c>
      <c r="E33" s="50">
        <f t="shared" ref="E33:I33" si="7">+E32+E17+E16+E10+E9</f>
        <v>0</v>
      </c>
      <c r="F33" s="50">
        <f t="shared" si="7"/>
        <v>564925046</v>
      </c>
      <c r="G33" s="50">
        <f t="shared" si="7"/>
        <v>565598552</v>
      </c>
      <c r="H33" s="50">
        <f>+H32+H17+H16+H10+H9</f>
        <v>0</v>
      </c>
      <c r="I33" s="50">
        <f t="shared" si="7"/>
        <v>565598552</v>
      </c>
    </row>
    <row r="34" spans="2:9" x14ac:dyDescent="0.25">
      <c r="B34" s="51" t="s">
        <v>87</v>
      </c>
      <c r="C34" s="40" t="s">
        <v>88</v>
      </c>
      <c r="D34" s="13">
        <v>0</v>
      </c>
      <c r="E34" s="13"/>
      <c r="F34" s="14">
        <f t="shared" ref="F34:F40" si="8">+D34+E34</f>
        <v>0</v>
      </c>
      <c r="G34" s="13">
        <v>0</v>
      </c>
      <c r="H34" s="13"/>
      <c r="I34" s="14">
        <f t="shared" ref="I34:I40" si="9">+G34+H34</f>
        <v>0</v>
      </c>
    </row>
    <row r="35" spans="2:9" x14ac:dyDescent="0.25">
      <c r="B35" s="51" t="s">
        <v>89</v>
      </c>
      <c r="C35" s="40" t="s">
        <v>90</v>
      </c>
      <c r="D35" s="13"/>
      <c r="E35" s="13"/>
      <c r="F35" s="14">
        <f t="shared" si="8"/>
        <v>0</v>
      </c>
      <c r="G35" s="13"/>
      <c r="H35" s="13"/>
      <c r="I35" s="14">
        <f t="shared" si="9"/>
        <v>0</v>
      </c>
    </row>
    <row r="36" spans="2:9" x14ac:dyDescent="0.25">
      <c r="B36" s="51" t="s">
        <v>91</v>
      </c>
      <c r="C36" s="40" t="s">
        <v>92</v>
      </c>
      <c r="D36" s="13">
        <v>259842</v>
      </c>
      <c r="E36" s="13"/>
      <c r="F36" s="14">
        <f t="shared" si="8"/>
        <v>259842</v>
      </c>
      <c r="G36" s="13">
        <v>259842</v>
      </c>
      <c r="H36" s="13"/>
      <c r="I36" s="14">
        <f t="shared" si="9"/>
        <v>259842</v>
      </c>
    </row>
    <row r="37" spans="2:9" x14ac:dyDescent="0.25">
      <c r="B37" s="51" t="s">
        <v>93</v>
      </c>
      <c r="C37" s="40" t="s">
        <v>94</v>
      </c>
      <c r="D37" s="13">
        <v>3736221</v>
      </c>
      <c r="E37" s="13"/>
      <c r="F37" s="14">
        <f t="shared" si="8"/>
        <v>3736221</v>
      </c>
      <c r="G37" s="13">
        <v>3736221</v>
      </c>
      <c r="H37" s="13"/>
      <c r="I37" s="14">
        <f t="shared" si="9"/>
        <v>3736221</v>
      </c>
    </row>
    <row r="38" spans="2:9" hidden="1" x14ac:dyDescent="0.25">
      <c r="B38" s="52" t="s">
        <v>95</v>
      </c>
      <c r="C38" s="40" t="s">
        <v>96</v>
      </c>
      <c r="D38" s="13"/>
      <c r="E38" s="13"/>
      <c r="F38" s="14">
        <f t="shared" si="8"/>
        <v>0</v>
      </c>
      <c r="G38" s="13"/>
      <c r="H38" s="13"/>
      <c r="I38" s="14">
        <f t="shared" si="9"/>
        <v>0</v>
      </c>
    </row>
    <row r="39" spans="2:9" hidden="1" x14ac:dyDescent="0.25">
      <c r="B39" s="52" t="s">
        <v>97</v>
      </c>
      <c r="C39" s="40" t="s">
        <v>98</v>
      </c>
      <c r="D39" s="13"/>
      <c r="E39" s="13"/>
      <c r="F39" s="14">
        <f t="shared" si="8"/>
        <v>0</v>
      </c>
      <c r="G39" s="13"/>
      <c r="H39" s="13"/>
      <c r="I39" s="14">
        <f t="shared" si="9"/>
        <v>0</v>
      </c>
    </row>
    <row r="40" spans="2:9" x14ac:dyDescent="0.25">
      <c r="B40" s="52" t="s">
        <v>99</v>
      </c>
      <c r="C40" s="40" t="s">
        <v>100</v>
      </c>
      <c r="D40" s="13">
        <v>1078937</v>
      </c>
      <c r="E40" s="13"/>
      <c r="F40" s="14">
        <f t="shared" si="8"/>
        <v>1078937</v>
      </c>
      <c r="G40" s="13">
        <v>1078937</v>
      </c>
      <c r="H40" s="13"/>
      <c r="I40" s="14">
        <f t="shared" si="9"/>
        <v>1078937</v>
      </c>
    </row>
    <row r="41" spans="2:9" s="20" customFormat="1" x14ac:dyDescent="0.25">
      <c r="B41" s="53" t="s">
        <v>101</v>
      </c>
      <c r="C41" s="43" t="s">
        <v>102</v>
      </c>
      <c r="D41" s="14">
        <f t="shared" ref="D41:I41" si="10">SUM(D34:D40)</f>
        <v>5075000</v>
      </c>
      <c r="E41" s="14">
        <f t="shared" si="10"/>
        <v>0</v>
      </c>
      <c r="F41" s="14">
        <f t="shared" si="10"/>
        <v>5075000</v>
      </c>
      <c r="G41" s="14">
        <f>SUM(G34:G40)</f>
        <v>5075000</v>
      </c>
      <c r="H41" s="14">
        <f>SUM(H34:H40)</f>
        <v>0</v>
      </c>
      <c r="I41" s="14">
        <f t="shared" si="10"/>
        <v>5075000</v>
      </c>
    </row>
    <row r="42" spans="2:9" x14ac:dyDescent="0.25">
      <c r="B42" s="54" t="s">
        <v>103</v>
      </c>
      <c r="C42" s="40" t="s">
        <v>104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4" t="s">
        <v>105</v>
      </c>
      <c r="C43" s="40" t="s">
        <v>106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4" t="s">
        <v>107</v>
      </c>
      <c r="C44" s="40" t="s">
        <v>108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4" t="s">
        <v>109</v>
      </c>
      <c r="C45" s="40" t="s">
        <v>110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4" t="s">
        <v>111</v>
      </c>
      <c r="C46" s="43" t="s">
        <v>112</v>
      </c>
      <c r="D46" s="14">
        <f t="shared" ref="D46:I46" si="11">SUM(D42:D45)</f>
        <v>0</v>
      </c>
      <c r="E46" s="14">
        <f t="shared" si="11"/>
        <v>0</v>
      </c>
      <c r="F46" s="14">
        <f t="shared" si="11"/>
        <v>0</v>
      </c>
      <c r="G46" s="14">
        <f t="shared" si="11"/>
        <v>0</v>
      </c>
      <c r="H46" s="14">
        <f t="shared" si="11"/>
        <v>0</v>
      </c>
      <c r="I46" s="14">
        <f t="shared" si="11"/>
        <v>0</v>
      </c>
    </row>
    <row r="47" spans="2:9" hidden="1" x14ac:dyDescent="0.25">
      <c r="B47" s="54" t="s">
        <v>589</v>
      </c>
      <c r="C47" s="40" t="s">
        <v>114</v>
      </c>
      <c r="D47" s="13"/>
      <c r="E47" s="13"/>
      <c r="F47" s="14">
        <f t="shared" ref="F47:F55" si="12">+D47+E47</f>
        <v>0</v>
      </c>
      <c r="G47" s="13"/>
      <c r="H47" s="13"/>
      <c r="I47" s="14">
        <f t="shared" ref="I47:I55" si="13">+G47+H47</f>
        <v>0</v>
      </c>
    </row>
    <row r="48" spans="2:9" ht="31.5" hidden="1" x14ac:dyDescent="0.25">
      <c r="B48" s="54" t="s">
        <v>590</v>
      </c>
      <c r="C48" s="40" t="s">
        <v>116</v>
      </c>
      <c r="D48" s="13"/>
      <c r="E48" s="13"/>
      <c r="F48" s="14">
        <f t="shared" si="12"/>
        <v>0</v>
      </c>
      <c r="G48" s="13"/>
      <c r="H48" s="13"/>
      <c r="I48" s="14">
        <f t="shared" si="13"/>
        <v>0</v>
      </c>
    </row>
    <row r="49" spans="2:10" hidden="1" x14ac:dyDescent="0.25">
      <c r="B49" s="54" t="s">
        <v>117</v>
      </c>
      <c r="C49" s="40" t="s">
        <v>118</v>
      </c>
      <c r="D49" s="13"/>
      <c r="E49" s="13"/>
      <c r="F49" s="14">
        <f t="shared" si="12"/>
        <v>0</v>
      </c>
      <c r="G49" s="13"/>
      <c r="H49" s="13"/>
      <c r="I49" s="14">
        <f t="shared" si="13"/>
        <v>0</v>
      </c>
    </row>
    <row r="50" spans="2:10" hidden="1" x14ac:dyDescent="0.25">
      <c r="B50" s="54" t="s">
        <v>119</v>
      </c>
      <c r="C50" s="40" t="s">
        <v>120</v>
      </c>
      <c r="D50" s="13"/>
      <c r="E50" s="13"/>
      <c r="F50" s="14">
        <f t="shared" si="12"/>
        <v>0</v>
      </c>
      <c r="G50" s="13"/>
      <c r="H50" s="13"/>
      <c r="I50" s="14">
        <f t="shared" si="13"/>
        <v>0</v>
      </c>
    </row>
    <row r="51" spans="2:10" hidden="1" x14ac:dyDescent="0.25">
      <c r="B51" s="54" t="s">
        <v>121</v>
      </c>
      <c r="C51" s="40" t="s">
        <v>122</v>
      </c>
      <c r="D51" s="13"/>
      <c r="E51" s="13"/>
      <c r="F51" s="14">
        <f t="shared" si="12"/>
        <v>0</v>
      </c>
      <c r="G51" s="13"/>
      <c r="H51" s="13"/>
      <c r="I51" s="14">
        <f t="shared" si="13"/>
        <v>0</v>
      </c>
    </row>
    <row r="52" spans="2:10" hidden="1" x14ac:dyDescent="0.25">
      <c r="B52" s="54" t="s">
        <v>123</v>
      </c>
      <c r="C52" s="40" t="s">
        <v>124</v>
      </c>
      <c r="D52" s="13"/>
      <c r="E52" s="13"/>
      <c r="F52" s="14">
        <f t="shared" si="12"/>
        <v>0</v>
      </c>
      <c r="G52" s="13"/>
      <c r="H52" s="13"/>
      <c r="I52" s="14">
        <f t="shared" si="13"/>
        <v>0</v>
      </c>
    </row>
    <row r="53" spans="2:10" hidden="1" x14ac:dyDescent="0.25">
      <c r="B53" s="54" t="s">
        <v>125</v>
      </c>
      <c r="C53" s="40" t="s">
        <v>126</v>
      </c>
      <c r="D53" s="13"/>
      <c r="E53" s="13"/>
      <c r="F53" s="14">
        <f t="shared" si="12"/>
        <v>0</v>
      </c>
      <c r="G53" s="13"/>
      <c r="H53" s="13"/>
      <c r="I53" s="14">
        <f t="shared" si="13"/>
        <v>0</v>
      </c>
    </row>
    <row r="54" spans="2:10" hidden="1" x14ac:dyDescent="0.25">
      <c r="B54" s="47" t="s">
        <v>591</v>
      </c>
      <c r="C54" s="40" t="s">
        <v>128</v>
      </c>
      <c r="D54" s="13"/>
      <c r="E54" s="13"/>
      <c r="F54" s="14">
        <f t="shared" si="12"/>
        <v>0</v>
      </c>
      <c r="G54" s="13"/>
      <c r="H54" s="13"/>
      <c r="I54" s="14">
        <f t="shared" si="13"/>
        <v>0</v>
      </c>
    </row>
    <row r="55" spans="2:10" hidden="1" x14ac:dyDescent="0.25">
      <c r="B55" s="54" t="s">
        <v>129</v>
      </c>
      <c r="C55" s="40" t="s">
        <v>130</v>
      </c>
      <c r="D55" s="13"/>
      <c r="E55" s="13"/>
      <c r="F55" s="14">
        <f t="shared" si="12"/>
        <v>0</v>
      </c>
      <c r="G55" s="13"/>
      <c r="H55" s="13"/>
      <c r="I55" s="14">
        <f t="shared" si="13"/>
        <v>0</v>
      </c>
    </row>
    <row r="56" spans="2:10" s="20" customFormat="1" x14ac:dyDescent="0.25">
      <c r="B56" s="45" t="s">
        <v>131</v>
      </c>
      <c r="C56" s="43" t="s">
        <v>132</v>
      </c>
      <c r="D56" s="14">
        <f t="shared" ref="D56:I56" si="14">SUM(D47:D55)</f>
        <v>0</v>
      </c>
      <c r="E56" s="14">
        <f t="shared" si="14"/>
        <v>0</v>
      </c>
      <c r="F56" s="14">
        <f t="shared" si="14"/>
        <v>0</v>
      </c>
      <c r="G56" s="14">
        <f t="shared" si="14"/>
        <v>0</v>
      </c>
      <c r="H56" s="14">
        <f t="shared" si="14"/>
        <v>0</v>
      </c>
      <c r="I56" s="14">
        <f t="shared" si="14"/>
        <v>0</v>
      </c>
    </row>
    <row r="57" spans="2:10" x14ac:dyDescent="0.25">
      <c r="B57" s="48" t="s">
        <v>133</v>
      </c>
      <c r="C57" s="49" t="s">
        <v>134</v>
      </c>
      <c r="D57" s="50">
        <f t="shared" ref="D57:I57" si="15">+D56+D46+D41</f>
        <v>5075000</v>
      </c>
      <c r="E57" s="50">
        <f t="shared" si="15"/>
        <v>0</v>
      </c>
      <c r="F57" s="50">
        <f t="shared" si="15"/>
        <v>5075000</v>
      </c>
      <c r="G57" s="50">
        <f t="shared" si="15"/>
        <v>5075000</v>
      </c>
      <c r="H57" s="50">
        <f t="shared" si="15"/>
        <v>0</v>
      </c>
      <c r="I57" s="50">
        <f t="shared" si="15"/>
        <v>5075000</v>
      </c>
    </row>
    <row r="58" spans="2:10" x14ac:dyDescent="0.25">
      <c r="B58" s="55" t="s">
        <v>135</v>
      </c>
      <c r="C58" s="56" t="s">
        <v>136</v>
      </c>
      <c r="D58" s="57">
        <f t="shared" ref="D58:I58" si="16">+D56+D46+D41+D32+D17+D16+D10+D9</f>
        <v>570000046</v>
      </c>
      <c r="E58" s="57">
        <f t="shared" si="16"/>
        <v>0</v>
      </c>
      <c r="F58" s="57">
        <f t="shared" si="16"/>
        <v>570000046</v>
      </c>
      <c r="G58" s="57">
        <f t="shared" si="16"/>
        <v>570673552</v>
      </c>
      <c r="H58" s="57">
        <f t="shared" si="16"/>
        <v>0</v>
      </c>
      <c r="I58" s="57">
        <f t="shared" si="16"/>
        <v>570673552</v>
      </c>
    </row>
    <row r="59" spans="2:10" hidden="1" x14ac:dyDescent="0.25">
      <c r="B59" s="59" t="s">
        <v>572</v>
      </c>
      <c r="C59" s="41" t="s">
        <v>162</v>
      </c>
      <c r="D59" s="181"/>
      <c r="E59" s="181"/>
      <c r="F59" s="13">
        <f>+D59+E59</f>
        <v>0</v>
      </c>
      <c r="G59" s="181"/>
      <c r="H59" s="181"/>
      <c r="I59" s="13">
        <f>+G59+H59</f>
        <v>0</v>
      </c>
      <c r="J59" s="182"/>
    </row>
    <row r="60" spans="2:10" hidden="1" x14ac:dyDescent="0.25">
      <c r="B60" s="59" t="s">
        <v>163</v>
      </c>
      <c r="C60" s="41" t="s">
        <v>164</v>
      </c>
      <c r="D60" s="181"/>
      <c r="E60" s="181"/>
      <c r="F60" s="13">
        <f>+D60+E60</f>
        <v>0</v>
      </c>
      <c r="G60" s="181"/>
      <c r="H60" s="181"/>
      <c r="I60" s="13">
        <f>+G60+H60</f>
        <v>0</v>
      </c>
      <c r="J60" s="182"/>
    </row>
    <row r="61" spans="2:10" hidden="1" x14ac:dyDescent="0.25">
      <c r="B61" s="54" t="s">
        <v>165</v>
      </c>
      <c r="C61" s="41" t="s">
        <v>166</v>
      </c>
      <c r="D61" s="181"/>
      <c r="E61" s="181"/>
      <c r="F61" s="13">
        <f>+D61+E61</f>
        <v>0</v>
      </c>
      <c r="G61" s="181"/>
      <c r="H61" s="181"/>
      <c r="I61" s="13">
        <f>+G61+H61</f>
        <v>0</v>
      </c>
      <c r="J61" s="183"/>
    </row>
    <row r="62" spans="2:10" hidden="1" x14ac:dyDescent="0.25">
      <c r="B62" s="54" t="s">
        <v>167</v>
      </c>
      <c r="C62" s="41" t="s">
        <v>168</v>
      </c>
      <c r="D62" s="181"/>
      <c r="E62" s="181"/>
      <c r="F62" s="13">
        <f>+D62+E62</f>
        <v>0</v>
      </c>
      <c r="G62" s="181"/>
      <c r="H62" s="181"/>
      <c r="I62" s="13">
        <f>+G62+H62</f>
        <v>0</v>
      </c>
      <c r="J62" s="183"/>
    </row>
    <row r="63" spans="2:10" x14ac:dyDescent="0.25">
      <c r="B63" s="62" t="s">
        <v>169</v>
      </c>
      <c r="C63" s="63" t="s">
        <v>170</v>
      </c>
      <c r="D63" s="64">
        <f t="shared" ref="D63:I63" si="17">+D61+D60+D59+D62</f>
        <v>0</v>
      </c>
      <c r="E63" s="64">
        <f t="shared" si="17"/>
        <v>0</v>
      </c>
      <c r="F63" s="64">
        <f t="shared" si="17"/>
        <v>0</v>
      </c>
      <c r="G63" s="64">
        <f t="shared" si="17"/>
        <v>0</v>
      </c>
      <c r="H63" s="64">
        <f t="shared" si="17"/>
        <v>0</v>
      </c>
      <c r="I63" s="64">
        <f t="shared" si="17"/>
        <v>0</v>
      </c>
      <c r="J63" s="184"/>
    </row>
    <row r="64" spans="2:10" x14ac:dyDescent="0.25">
      <c r="B64" s="17" t="s">
        <v>171</v>
      </c>
      <c r="C64" s="17" t="s">
        <v>172</v>
      </c>
      <c r="D64" s="18">
        <f t="shared" ref="D64:I64" si="18">+D58+D63</f>
        <v>570000046</v>
      </c>
      <c r="E64" s="18">
        <f t="shared" si="18"/>
        <v>0</v>
      </c>
      <c r="F64" s="18">
        <f t="shared" si="18"/>
        <v>570000046</v>
      </c>
      <c r="G64" s="18">
        <f t="shared" si="18"/>
        <v>570673552</v>
      </c>
      <c r="H64" s="18">
        <f t="shared" si="18"/>
        <v>0</v>
      </c>
      <c r="I64" s="18">
        <f t="shared" si="18"/>
        <v>570673552</v>
      </c>
    </row>
    <row r="65" spans="2:9" x14ac:dyDescent="0.25">
      <c r="B65" s="2"/>
      <c r="C65" s="2"/>
      <c r="D65" s="3"/>
      <c r="E65" s="3"/>
      <c r="F65" s="65"/>
      <c r="G65" s="3"/>
      <c r="H65" s="3"/>
      <c r="I65" s="65"/>
    </row>
    <row r="66" spans="2:9" ht="15.75" hidden="1" customHeight="1" x14ac:dyDescent="0.25">
      <c r="B66" s="2"/>
      <c r="C66" s="2"/>
      <c r="D66" s="583" t="s">
        <v>7</v>
      </c>
      <c r="E66" s="583"/>
      <c r="F66" s="583"/>
      <c r="G66" s="583" t="s">
        <v>7</v>
      </c>
      <c r="H66" s="583"/>
      <c r="I66" s="583"/>
    </row>
    <row r="67" spans="2:9" ht="47.25" x14ac:dyDescent="0.25">
      <c r="B67" s="8" t="s">
        <v>8</v>
      </c>
      <c r="C67" s="35" t="s">
        <v>173</v>
      </c>
      <c r="D67" s="36" t="s">
        <v>9</v>
      </c>
      <c r="E67" s="36" t="s">
        <v>10</v>
      </c>
      <c r="F67" s="35" t="s">
        <v>515</v>
      </c>
      <c r="G67" s="36" t="s">
        <v>9</v>
      </c>
      <c r="H67" s="36" t="s">
        <v>10</v>
      </c>
      <c r="I67" s="35" t="s">
        <v>515</v>
      </c>
    </row>
    <row r="68" spans="2:9" hidden="1" x14ac:dyDescent="0.25">
      <c r="B68" s="44" t="s">
        <v>573</v>
      </c>
      <c r="C68" s="53" t="s">
        <v>187</v>
      </c>
      <c r="D68" s="14"/>
      <c r="E68" s="14"/>
      <c r="F68" s="14">
        <f t="shared" ref="F68:F73" si="19">+E68+D68</f>
        <v>0</v>
      </c>
      <c r="G68" s="14"/>
      <c r="H68" s="14"/>
      <c r="I68" s="14">
        <f t="shared" ref="I68:I73" si="20">+H68+G68</f>
        <v>0</v>
      </c>
    </row>
    <row r="69" spans="2:9" hidden="1" x14ac:dyDescent="0.25">
      <c r="B69" s="41" t="s">
        <v>188</v>
      </c>
      <c r="C69" s="52" t="s">
        <v>189</v>
      </c>
      <c r="D69" s="14"/>
      <c r="E69" s="14"/>
      <c r="F69" s="14">
        <f t="shared" si="19"/>
        <v>0</v>
      </c>
      <c r="G69" s="14"/>
      <c r="H69" s="14"/>
      <c r="I69" s="14">
        <f t="shared" si="20"/>
        <v>0</v>
      </c>
    </row>
    <row r="70" spans="2:9" ht="31.5" hidden="1" x14ac:dyDescent="0.25">
      <c r="B70" s="41" t="s">
        <v>574</v>
      </c>
      <c r="C70" s="52" t="s">
        <v>191</v>
      </c>
      <c r="D70" s="14"/>
      <c r="E70" s="14"/>
      <c r="F70" s="14">
        <f t="shared" si="19"/>
        <v>0</v>
      </c>
      <c r="G70" s="14"/>
      <c r="H70" s="14"/>
      <c r="I70" s="14">
        <f t="shared" si="20"/>
        <v>0</v>
      </c>
    </row>
    <row r="71" spans="2:9" ht="31.5" hidden="1" x14ac:dyDescent="0.25">
      <c r="B71" s="41" t="s">
        <v>192</v>
      </c>
      <c r="C71" s="52" t="s">
        <v>193</v>
      </c>
      <c r="D71" s="14"/>
      <c r="E71" s="14"/>
      <c r="F71" s="14">
        <f t="shared" si="19"/>
        <v>0</v>
      </c>
      <c r="G71" s="14"/>
      <c r="H71" s="14"/>
      <c r="I71" s="14">
        <f t="shared" si="20"/>
        <v>0</v>
      </c>
    </row>
    <row r="72" spans="2:9" ht="31.5" hidden="1" x14ac:dyDescent="0.25">
      <c r="B72" s="41" t="s">
        <v>194</v>
      </c>
      <c r="C72" s="52" t="s">
        <v>195</v>
      </c>
      <c r="D72" s="14"/>
      <c r="E72" s="14"/>
      <c r="F72" s="14">
        <f t="shared" si="19"/>
        <v>0</v>
      </c>
      <c r="G72" s="14"/>
      <c r="H72" s="14"/>
      <c r="I72" s="14">
        <f t="shared" si="20"/>
        <v>0</v>
      </c>
    </row>
    <row r="73" spans="2:9" x14ac:dyDescent="0.25">
      <c r="B73" s="41" t="s">
        <v>196</v>
      </c>
      <c r="C73" s="52" t="s">
        <v>197</v>
      </c>
      <c r="D73" s="13">
        <v>10575426</v>
      </c>
      <c r="E73" s="13"/>
      <c r="F73" s="14">
        <f t="shared" si="19"/>
        <v>10575426</v>
      </c>
      <c r="G73" s="13">
        <v>10575426</v>
      </c>
      <c r="H73" s="13"/>
      <c r="I73" s="14">
        <f t="shared" si="20"/>
        <v>10575426</v>
      </c>
    </row>
    <row r="74" spans="2:9" x14ac:dyDescent="0.25">
      <c r="B74" s="44" t="s">
        <v>198</v>
      </c>
      <c r="C74" s="53" t="s">
        <v>199</v>
      </c>
      <c r="D74" s="14">
        <f t="shared" ref="D74:I74" si="21">+D73+D72+D71+D70+D69+D68</f>
        <v>10575426</v>
      </c>
      <c r="E74" s="14">
        <f t="shared" si="21"/>
        <v>0</v>
      </c>
      <c r="F74" s="14">
        <f t="shared" si="21"/>
        <v>10575426</v>
      </c>
      <c r="G74" s="14">
        <f>+G73+G72+G71+G70+G69+G68</f>
        <v>10575426</v>
      </c>
      <c r="H74" s="14">
        <f>+H73+H72+H71+H70+H69+H68</f>
        <v>0</v>
      </c>
      <c r="I74" s="14">
        <f t="shared" si="21"/>
        <v>10575426</v>
      </c>
    </row>
    <row r="75" spans="2:9" x14ac:dyDescent="0.25">
      <c r="B75" s="44" t="s">
        <v>200</v>
      </c>
      <c r="C75" s="53" t="s">
        <v>201</v>
      </c>
      <c r="D75" s="13"/>
      <c r="E75" s="13"/>
      <c r="F75" s="14">
        <f t="shared" ref="F75:F81" si="22">+E75+D75</f>
        <v>0</v>
      </c>
      <c r="G75" s="13"/>
      <c r="H75" s="13"/>
      <c r="I75" s="14">
        <f t="shared" ref="I75:I81" si="23">+H75+G75</f>
        <v>0</v>
      </c>
    </row>
    <row r="76" spans="2:9" hidden="1" x14ac:dyDescent="0.25">
      <c r="B76" s="41" t="s">
        <v>202</v>
      </c>
      <c r="C76" s="52" t="s">
        <v>203</v>
      </c>
      <c r="D76" s="13"/>
      <c r="E76" s="13"/>
      <c r="F76" s="14">
        <f t="shared" si="22"/>
        <v>0</v>
      </c>
      <c r="G76" s="13"/>
      <c r="H76" s="13"/>
      <c r="I76" s="14">
        <f t="shared" si="23"/>
        <v>0</v>
      </c>
    </row>
    <row r="77" spans="2:9" hidden="1" x14ac:dyDescent="0.25">
      <c r="B77" s="41" t="s">
        <v>204</v>
      </c>
      <c r="C77" s="52" t="s">
        <v>205</v>
      </c>
      <c r="D77" s="13"/>
      <c r="E77" s="13"/>
      <c r="F77" s="14">
        <f t="shared" si="22"/>
        <v>0</v>
      </c>
      <c r="G77" s="13"/>
      <c r="H77" s="13"/>
      <c r="I77" s="14">
        <f t="shared" si="23"/>
        <v>0</v>
      </c>
    </row>
    <row r="78" spans="2:9" hidden="1" x14ac:dyDescent="0.25">
      <c r="B78" s="41" t="s">
        <v>206</v>
      </c>
      <c r="C78" s="52" t="s">
        <v>207</v>
      </c>
      <c r="D78" s="13"/>
      <c r="E78" s="13"/>
      <c r="F78" s="14">
        <f t="shared" si="22"/>
        <v>0</v>
      </c>
      <c r="G78" s="13"/>
      <c r="H78" s="13"/>
      <c r="I78" s="14">
        <f t="shared" si="23"/>
        <v>0</v>
      </c>
    </row>
    <row r="79" spans="2:9" hidden="1" x14ac:dyDescent="0.25">
      <c r="B79" s="41" t="s">
        <v>208</v>
      </c>
      <c r="C79" s="52" t="s">
        <v>209</v>
      </c>
      <c r="D79" s="13"/>
      <c r="E79" s="13"/>
      <c r="F79" s="14">
        <f t="shared" si="22"/>
        <v>0</v>
      </c>
      <c r="G79" s="13"/>
      <c r="H79" s="13"/>
      <c r="I79" s="14">
        <f t="shared" si="23"/>
        <v>0</v>
      </c>
    </row>
    <row r="80" spans="2:9" hidden="1" x14ac:dyDescent="0.25">
      <c r="B80" s="41" t="s">
        <v>210</v>
      </c>
      <c r="C80" s="52" t="s">
        <v>211</v>
      </c>
      <c r="D80" s="13"/>
      <c r="E80" s="13"/>
      <c r="F80" s="14">
        <f t="shared" si="22"/>
        <v>0</v>
      </c>
      <c r="G80" s="13"/>
      <c r="H80" s="13"/>
      <c r="I80" s="14">
        <f t="shared" si="23"/>
        <v>0</v>
      </c>
    </row>
    <row r="81" spans="2:9" hidden="1" x14ac:dyDescent="0.25">
      <c r="B81" s="41" t="s">
        <v>212</v>
      </c>
      <c r="C81" s="52" t="s">
        <v>213</v>
      </c>
      <c r="D81" s="13"/>
      <c r="E81" s="13"/>
      <c r="F81" s="14">
        <f t="shared" si="22"/>
        <v>0</v>
      </c>
      <c r="G81" s="13"/>
      <c r="H81" s="13"/>
      <c r="I81" s="14">
        <f t="shared" si="23"/>
        <v>0</v>
      </c>
    </row>
    <row r="82" spans="2:9" x14ac:dyDescent="0.25">
      <c r="B82" s="44" t="s">
        <v>214</v>
      </c>
      <c r="C82" s="53" t="s">
        <v>215</v>
      </c>
      <c r="D82" s="14">
        <f t="shared" ref="D82:I82" si="24">SUM(D76:D81)</f>
        <v>0</v>
      </c>
      <c r="E82" s="14">
        <f t="shared" si="24"/>
        <v>0</v>
      </c>
      <c r="F82" s="14">
        <f t="shared" si="24"/>
        <v>0</v>
      </c>
      <c r="G82" s="14">
        <f>SUM(G76:G81)</f>
        <v>0</v>
      </c>
      <c r="H82" s="14">
        <f>SUM(H76:H81)</f>
        <v>0</v>
      </c>
      <c r="I82" s="14">
        <f t="shared" si="24"/>
        <v>0</v>
      </c>
    </row>
    <row r="83" spans="2:9" x14ac:dyDescent="0.25">
      <c r="B83" s="54" t="s">
        <v>577</v>
      </c>
      <c r="C83" s="52" t="s">
        <v>217</v>
      </c>
      <c r="D83" s="13"/>
      <c r="E83" s="13"/>
      <c r="F83" s="14">
        <f t="shared" ref="F83:F93" si="25">+E83+D83</f>
        <v>0</v>
      </c>
      <c r="G83" s="13"/>
      <c r="H83" s="13"/>
      <c r="I83" s="14">
        <f t="shared" ref="I83:I93" si="26">+H83+G83</f>
        <v>0</v>
      </c>
    </row>
    <row r="84" spans="2:9" x14ac:dyDescent="0.25">
      <c r="B84" s="54" t="s">
        <v>218</v>
      </c>
      <c r="C84" s="52" t="s">
        <v>219</v>
      </c>
      <c r="D84" s="13">
        <v>8734775</v>
      </c>
      <c r="E84" s="13"/>
      <c r="F84" s="14">
        <f t="shared" si="25"/>
        <v>8734775</v>
      </c>
      <c r="G84" s="13">
        <v>8734775</v>
      </c>
      <c r="H84" s="13"/>
      <c r="I84" s="14">
        <f t="shared" si="26"/>
        <v>8734775</v>
      </c>
    </row>
    <row r="85" spans="2:9" x14ac:dyDescent="0.25">
      <c r="B85" s="54" t="s">
        <v>220</v>
      </c>
      <c r="C85" s="52" t="s">
        <v>221</v>
      </c>
      <c r="D85" s="13"/>
      <c r="E85" s="13"/>
      <c r="F85" s="14">
        <f t="shared" si="25"/>
        <v>0</v>
      </c>
      <c r="G85" s="13"/>
      <c r="H85" s="13"/>
      <c r="I85" s="14">
        <f t="shared" si="26"/>
        <v>0</v>
      </c>
    </row>
    <row r="86" spans="2:9" x14ac:dyDescent="0.25">
      <c r="B86" s="54" t="s">
        <v>222</v>
      </c>
      <c r="C86" s="52" t="s">
        <v>223</v>
      </c>
      <c r="D86" s="13"/>
      <c r="E86" s="13"/>
      <c r="F86" s="14">
        <f t="shared" si="25"/>
        <v>0</v>
      </c>
      <c r="G86" s="13"/>
      <c r="H86" s="13"/>
      <c r="I86" s="14">
        <f t="shared" si="26"/>
        <v>0</v>
      </c>
    </row>
    <row r="87" spans="2:9" x14ac:dyDescent="0.25">
      <c r="B87" s="54" t="s">
        <v>224</v>
      </c>
      <c r="C87" s="52" t="s">
        <v>225</v>
      </c>
      <c r="D87" s="13">
        <v>48659033</v>
      </c>
      <c r="E87" s="13"/>
      <c r="F87" s="14">
        <f t="shared" si="25"/>
        <v>48659033</v>
      </c>
      <c r="G87" s="13">
        <v>48659033</v>
      </c>
      <c r="H87" s="13"/>
      <c r="I87" s="14">
        <f t="shared" si="26"/>
        <v>48659033</v>
      </c>
    </row>
    <row r="88" spans="2:9" x14ac:dyDescent="0.25">
      <c r="B88" s="54" t="s">
        <v>226</v>
      </c>
      <c r="C88" s="52" t="s">
        <v>227</v>
      </c>
      <c r="D88" s="13">
        <v>14958825</v>
      </c>
      <c r="E88" s="13"/>
      <c r="F88" s="14">
        <f t="shared" si="25"/>
        <v>14958825</v>
      </c>
      <c r="G88" s="13">
        <v>14958825</v>
      </c>
      <c r="H88" s="13"/>
      <c r="I88" s="14">
        <f t="shared" si="26"/>
        <v>14958825</v>
      </c>
    </row>
    <row r="89" spans="2:9" x14ac:dyDescent="0.25">
      <c r="B89" s="54" t="s">
        <v>228</v>
      </c>
      <c r="C89" s="52" t="s">
        <v>229</v>
      </c>
      <c r="D89" s="13"/>
      <c r="E89" s="13"/>
      <c r="F89" s="14">
        <f t="shared" si="25"/>
        <v>0</v>
      </c>
      <c r="G89" s="13"/>
      <c r="H89" s="13"/>
      <c r="I89" s="14">
        <f t="shared" si="26"/>
        <v>0</v>
      </c>
    </row>
    <row r="90" spans="2:9" x14ac:dyDescent="0.25">
      <c r="B90" s="54" t="s">
        <v>230</v>
      </c>
      <c r="C90" s="52" t="s">
        <v>231</v>
      </c>
      <c r="D90" s="13"/>
      <c r="E90" s="13"/>
      <c r="F90" s="14">
        <f t="shared" si="25"/>
        <v>0</v>
      </c>
      <c r="G90" s="13"/>
      <c r="H90" s="13"/>
      <c r="I90" s="14">
        <f t="shared" si="26"/>
        <v>0</v>
      </c>
    </row>
    <row r="91" spans="2:9" x14ac:dyDescent="0.25">
      <c r="B91" s="54" t="s">
        <v>232</v>
      </c>
      <c r="C91" s="52" t="s">
        <v>233</v>
      </c>
      <c r="D91" s="13"/>
      <c r="E91" s="13"/>
      <c r="F91" s="14">
        <f t="shared" si="25"/>
        <v>0</v>
      </c>
      <c r="G91" s="13"/>
      <c r="H91" s="13"/>
      <c r="I91" s="14">
        <f t="shared" si="26"/>
        <v>0</v>
      </c>
    </row>
    <row r="92" spans="2:9" x14ac:dyDescent="0.25">
      <c r="B92" s="54" t="s">
        <v>234</v>
      </c>
      <c r="C92" s="52" t="s">
        <v>235</v>
      </c>
      <c r="D92" s="13"/>
      <c r="E92" s="13"/>
      <c r="F92" s="14">
        <f t="shared" si="25"/>
        <v>0</v>
      </c>
      <c r="G92" s="13"/>
      <c r="H92" s="13"/>
      <c r="I92" s="14">
        <f t="shared" si="26"/>
        <v>0</v>
      </c>
    </row>
    <row r="93" spans="2:9" x14ac:dyDescent="0.25">
      <c r="B93" s="54" t="s">
        <v>236</v>
      </c>
      <c r="C93" s="52" t="s">
        <v>237</v>
      </c>
      <c r="D93" s="13">
        <v>0</v>
      </c>
      <c r="E93" s="13"/>
      <c r="F93" s="14">
        <f t="shared" si="25"/>
        <v>0</v>
      </c>
      <c r="G93" s="13">
        <v>0</v>
      </c>
      <c r="H93" s="13"/>
      <c r="I93" s="14">
        <f t="shared" si="26"/>
        <v>0</v>
      </c>
    </row>
    <row r="94" spans="2:9" x14ac:dyDescent="0.25">
      <c r="B94" s="45" t="s">
        <v>238</v>
      </c>
      <c r="C94" s="53" t="s">
        <v>239</v>
      </c>
      <c r="D94" s="14">
        <f t="shared" ref="D94:I94" si="27">SUM(D83:D93)</f>
        <v>72352633</v>
      </c>
      <c r="E94" s="14">
        <f t="shared" si="27"/>
        <v>0</v>
      </c>
      <c r="F94" s="14">
        <f t="shared" si="27"/>
        <v>72352633</v>
      </c>
      <c r="G94" s="14">
        <f>SUM(G83:G93)</f>
        <v>72352633</v>
      </c>
      <c r="H94" s="14">
        <f>SUM(H83:H93)</f>
        <v>0</v>
      </c>
      <c r="I94" s="14">
        <f t="shared" si="27"/>
        <v>72352633</v>
      </c>
    </row>
    <row r="95" spans="2:9" x14ac:dyDescent="0.25">
      <c r="B95" s="54" t="s">
        <v>240</v>
      </c>
      <c r="C95" s="52" t="s">
        <v>241</v>
      </c>
      <c r="D95" s="13"/>
      <c r="E95" s="13"/>
      <c r="F95" s="14">
        <f>+E95+D95</f>
        <v>0</v>
      </c>
      <c r="G95" s="13"/>
      <c r="H95" s="13"/>
      <c r="I95" s="14">
        <f>+H95+G95</f>
        <v>0</v>
      </c>
    </row>
    <row r="96" spans="2:9" x14ac:dyDescent="0.25">
      <c r="B96" s="54" t="s">
        <v>242</v>
      </c>
      <c r="C96" s="52" t="s">
        <v>243</v>
      </c>
      <c r="D96" s="13"/>
      <c r="E96" s="13"/>
      <c r="F96" s="14">
        <f>+E96+D96</f>
        <v>0</v>
      </c>
      <c r="G96" s="13"/>
      <c r="H96" s="13"/>
      <c r="I96" s="14">
        <f>+H96+G96</f>
        <v>0</v>
      </c>
    </row>
    <row r="97" spans="2:9" x14ac:dyDescent="0.25">
      <c r="B97" s="54" t="s">
        <v>244</v>
      </c>
      <c r="C97" s="52" t="s">
        <v>245</v>
      </c>
      <c r="D97" s="13"/>
      <c r="E97" s="13"/>
      <c r="F97" s="14">
        <f>+E97+D97</f>
        <v>0</v>
      </c>
      <c r="G97" s="13"/>
      <c r="H97" s="13"/>
      <c r="I97" s="14">
        <f>+H97+G97</f>
        <v>0</v>
      </c>
    </row>
    <row r="98" spans="2:9" x14ac:dyDescent="0.25">
      <c r="B98" s="54" t="s">
        <v>246</v>
      </c>
      <c r="C98" s="52" t="s">
        <v>247</v>
      </c>
      <c r="D98" s="13"/>
      <c r="E98" s="13"/>
      <c r="F98" s="14">
        <f>+E98+D98</f>
        <v>0</v>
      </c>
      <c r="G98" s="13"/>
      <c r="H98" s="13"/>
      <c r="I98" s="14">
        <f>+H98+G98</f>
        <v>0</v>
      </c>
    </row>
    <row r="99" spans="2:9" x14ac:dyDescent="0.25">
      <c r="B99" s="54" t="s">
        <v>248</v>
      </c>
      <c r="C99" s="52" t="s">
        <v>249</v>
      </c>
      <c r="D99" s="13"/>
      <c r="E99" s="13"/>
      <c r="F99" s="14">
        <f>+E99+D99</f>
        <v>0</v>
      </c>
      <c r="G99" s="13"/>
      <c r="H99" s="13"/>
      <c r="I99" s="14">
        <f>+H99+G99</f>
        <v>0</v>
      </c>
    </row>
    <row r="100" spans="2:9" x14ac:dyDescent="0.25">
      <c r="B100" s="44" t="s">
        <v>250</v>
      </c>
      <c r="C100" s="53" t="s">
        <v>251</v>
      </c>
      <c r="D100" s="14">
        <f t="shared" ref="D100:I100" si="28">SUM(D95:D99)</f>
        <v>0</v>
      </c>
      <c r="E100" s="14">
        <f t="shared" si="28"/>
        <v>0</v>
      </c>
      <c r="F100" s="14">
        <f t="shared" si="28"/>
        <v>0</v>
      </c>
      <c r="G100" s="14">
        <f t="shared" si="28"/>
        <v>0</v>
      </c>
      <c r="H100" s="14">
        <f t="shared" si="28"/>
        <v>0</v>
      </c>
      <c r="I100" s="14">
        <f t="shared" si="28"/>
        <v>0</v>
      </c>
    </row>
    <row r="101" spans="2:9" x14ac:dyDescent="0.25">
      <c r="B101" s="44" t="s">
        <v>252</v>
      </c>
      <c r="C101" s="53" t="s">
        <v>253</v>
      </c>
      <c r="D101" s="13">
        <v>0</v>
      </c>
      <c r="E101" s="13"/>
      <c r="F101" s="14">
        <f>+E101+D101</f>
        <v>0</v>
      </c>
      <c r="G101" s="13">
        <v>0</v>
      </c>
      <c r="H101" s="13"/>
      <c r="I101" s="14">
        <f>+H101+G101</f>
        <v>0</v>
      </c>
    </row>
    <row r="102" spans="2:9" hidden="1" x14ac:dyDescent="0.25">
      <c r="B102" s="54" t="s">
        <v>254</v>
      </c>
      <c r="C102" s="52" t="s">
        <v>255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</row>
    <row r="103" spans="2:9" ht="31.5" hidden="1" x14ac:dyDescent="0.25">
      <c r="B103" s="41" t="s">
        <v>256</v>
      </c>
      <c r="C103" s="52" t="s">
        <v>257</v>
      </c>
      <c r="D103" s="13"/>
      <c r="E103" s="13"/>
      <c r="F103" s="14"/>
      <c r="G103" s="13"/>
      <c r="H103" s="13"/>
      <c r="I103" s="14"/>
    </row>
    <row r="104" spans="2:9" ht="31.5" hidden="1" x14ac:dyDescent="0.25">
      <c r="B104" s="54" t="s">
        <v>258</v>
      </c>
      <c r="C104" s="52" t="s">
        <v>259</v>
      </c>
      <c r="D104" s="13"/>
      <c r="E104" s="13"/>
      <c r="F104" s="14"/>
      <c r="G104" s="13"/>
      <c r="H104" s="13"/>
      <c r="I104" s="14"/>
    </row>
    <row r="105" spans="2:9" hidden="1" x14ac:dyDescent="0.25">
      <c r="B105" s="54" t="s">
        <v>260</v>
      </c>
      <c r="C105" s="52" t="s">
        <v>261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</row>
    <row r="106" spans="2:9" hidden="1" x14ac:dyDescent="0.25">
      <c r="B106" s="54" t="s">
        <v>262</v>
      </c>
      <c r="C106" s="52" t="s">
        <v>263</v>
      </c>
      <c r="D106" s="13"/>
      <c r="E106" s="13"/>
      <c r="F106" s="14">
        <f>+E106+D106</f>
        <v>0</v>
      </c>
      <c r="G106" s="13"/>
      <c r="H106" s="13"/>
      <c r="I106" s="14">
        <f>+H106+G106</f>
        <v>0</v>
      </c>
    </row>
    <row r="107" spans="2:9" x14ac:dyDescent="0.25">
      <c r="B107" s="44" t="s">
        <v>264</v>
      </c>
      <c r="C107" s="53" t="s">
        <v>265</v>
      </c>
      <c r="D107" s="14">
        <f t="shared" ref="D107:I107" si="29">SUM(D102:D106)</f>
        <v>0</v>
      </c>
      <c r="E107" s="14">
        <f t="shared" si="29"/>
        <v>0</v>
      </c>
      <c r="F107" s="14">
        <f t="shared" si="29"/>
        <v>0</v>
      </c>
      <c r="G107" s="14">
        <f t="shared" si="29"/>
        <v>0</v>
      </c>
      <c r="H107" s="14">
        <f t="shared" si="29"/>
        <v>0</v>
      </c>
      <c r="I107" s="14">
        <f t="shared" si="29"/>
        <v>0</v>
      </c>
    </row>
    <row r="108" spans="2:9" x14ac:dyDescent="0.25">
      <c r="B108" s="66" t="s">
        <v>266</v>
      </c>
      <c r="C108" s="55" t="s">
        <v>267</v>
      </c>
      <c r="D108" s="57">
        <f t="shared" ref="D108:I108" si="30">+D107+D101+D100+D94+D82+D75+D74</f>
        <v>82928059</v>
      </c>
      <c r="E108" s="57">
        <f t="shared" si="30"/>
        <v>0</v>
      </c>
      <c r="F108" s="57">
        <f t="shared" si="30"/>
        <v>82928059</v>
      </c>
      <c r="G108" s="57">
        <f t="shared" si="30"/>
        <v>82928059</v>
      </c>
      <c r="H108" s="57">
        <f t="shared" si="30"/>
        <v>0</v>
      </c>
      <c r="I108" s="57">
        <f t="shared" si="30"/>
        <v>82928059</v>
      </c>
    </row>
    <row r="109" spans="2:9" x14ac:dyDescent="0.25">
      <c r="B109" s="67" t="s">
        <v>268</v>
      </c>
      <c r="C109" s="68"/>
      <c r="D109" s="69">
        <f>+D101+D94+D82+D74-D33</f>
        <v>-481996987</v>
      </c>
      <c r="E109" s="69">
        <f>+E101+E94+E82+E74-E33</f>
        <v>0</v>
      </c>
      <c r="F109" s="69">
        <f t="shared" ref="F109:F116" si="31">+E109+D109</f>
        <v>-481996987</v>
      </c>
      <c r="G109" s="69">
        <f>+G101+G94+G82+G74-G33</f>
        <v>-482670493</v>
      </c>
      <c r="H109" s="69">
        <f>+H101+H94+H82+H74-H33</f>
        <v>0</v>
      </c>
      <c r="I109" s="69">
        <f t="shared" ref="I109:I116" si="32">+H109+G109</f>
        <v>-482670493</v>
      </c>
    </row>
    <row r="110" spans="2:9" x14ac:dyDescent="0.25">
      <c r="B110" s="67" t="s">
        <v>269</v>
      </c>
      <c r="C110" s="68"/>
      <c r="D110" s="69">
        <f>+D107+D100+D75-D57</f>
        <v>-5075000</v>
      </c>
      <c r="E110" s="69">
        <f>+E107+E100+E75-E57</f>
        <v>0</v>
      </c>
      <c r="F110" s="69">
        <f t="shared" si="31"/>
        <v>-5075000</v>
      </c>
      <c r="G110" s="69">
        <f>+G107+G100+G75-G57</f>
        <v>-5075000</v>
      </c>
      <c r="H110" s="69">
        <f>+H107+H100+H75-H57</f>
        <v>0</v>
      </c>
      <c r="I110" s="69">
        <f t="shared" si="32"/>
        <v>-5075000</v>
      </c>
    </row>
    <row r="111" spans="2:9" hidden="1" x14ac:dyDescent="0.25">
      <c r="B111" s="45" t="s">
        <v>581</v>
      </c>
      <c r="C111" s="44" t="s">
        <v>277</v>
      </c>
      <c r="D111" s="13"/>
      <c r="E111" s="13"/>
      <c r="F111" s="14">
        <f t="shared" si="31"/>
        <v>0</v>
      </c>
      <c r="G111" s="13"/>
      <c r="H111" s="13"/>
      <c r="I111" s="14">
        <f t="shared" si="32"/>
        <v>0</v>
      </c>
    </row>
    <row r="112" spans="2:9" hidden="1" x14ac:dyDescent="0.25">
      <c r="B112" s="61" t="s">
        <v>582</v>
      </c>
      <c r="C112" s="44" t="s">
        <v>287</v>
      </c>
      <c r="D112" s="13"/>
      <c r="E112" s="13"/>
      <c r="F112" s="14">
        <f t="shared" si="31"/>
        <v>0</v>
      </c>
      <c r="G112" s="13"/>
      <c r="H112" s="13"/>
      <c r="I112" s="14">
        <f t="shared" si="32"/>
        <v>0</v>
      </c>
    </row>
    <row r="113" spans="1:9" x14ac:dyDescent="0.25">
      <c r="B113" s="41" t="s">
        <v>288</v>
      </c>
      <c r="C113" s="41" t="s">
        <v>289</v>
      </c>
      <c r="D113" s="13">
        <v>0</v>
      </c>
      <c r="E113" s="13"/>
      <c r="F113" s="14">
        <f t="shared" si="31"/>
        <v>0</v>
      </c>
      <c r="G113" s="13"/>
      <c r="H113" s="13"/>
      <c r="I113" s="14">
        <f t="shared" si="32"/>
        <v>0</v>
      </c>
    </row>
    <row r="114" spans="1:9" ht="31.5" x14ac:dyDescent="0.25">
      <c r="A114" s="2" t="s">
        <v>325</v>
      </c>
      <c r="B114" s="41" t="s">
        <v>290</v>
      </c>
      <c r="C114" s="41" t="s">
        <v>289</v>
      </c>
      <c r="D114" s="13"/>
      <c r="E114" s="13"/>
      <c r="F114" s="14">
        <f t="shared" si="31"/>
        <v>0</v>
      </c>
      <c r="G114" s="13"/>
      <c r="H114" s="13"/>
      <c r="I114" s="14">
        <f t="shared" si="32"/>
        <v>0</v>
      </c>
    </row>
    <row r="115" spans="1:9" hidden="1" x14ac:dyDescent="0.25">
      <c r="B115" s="41" t="s">
        <v>291</v>
      </c>
      <c r="C115" s="41" t="s">
        <v>292</v>
      </c>
      <c r="D115" s="13"/>
      <c r="E115" s="13"/>
      <c r="F115" s="14">
        <f t="shared" si="31"/>
        <v>0</v>
      </c>
      <c r="G115" s="13"/>
      <c r="H115" s="13"/>
      <c r="I115" s="14">
        <f t="shared" si="32"/>
        <v>0</v>
      </c>
    </row>
    <row r="116" spans="1:9" ht="31.5" hidden="1" x14ac:dyDescent="0.25">
      <c r="A116"/>
      <c r="B116" s="41" t="s">
        <v>293</v>
      </c>
      <c r="C116" s="41" t="s">
        <v>292</v>
      </c>
      <c r="D116" s="13"/>
      <c r="E116" s="13"/>
      <c r="F116" s="14">
        <f t="shared" si="31"/>
        <v>0</v>
      </c>
      <c r="G116" s="13"/>
      <c r="H116" s="13"/>
      <c r="I116" s="14">
        <f t="shared" si="32"/>
        <v>0</v>
      </c>
    </row>
    <row r="117" spans="1:9" x14ac:dyDescent="0.25">
      <c r="A117" s="2" t="s">
        <v>592</v>
      </c>
      <c r="B117" s="44" t="s">
        <v>294</v>
      </c>
      <c r="C117" s="44" t="s">
        <v>295</v>
      </c>
      <c r="D117" s="14">
        <f t="shared" ref="D117:I117" si="33">SUM(D113:D116)</f>
        <v>0</v>
      </c>
      <c r="E117" s="14">
        <f t="shared" si="33"/>
        <v>0</v>
      </c>
      <c r="F117" s="14">
        <f t="shared" si="33"/>
        <v>0</v>
      </c>
      <c r="G117" s="14">
        <f t="shared" si="33"/>
        <v>0</v>
      </c>
      <c r="H117" s="14">
        <f t="shared" si="33"/>
        <v>0</v>
      </c>
      <c r="I117" s="14">
        <f t="shared" si="33"/>
        <v>0</v>
      </c>
    </row>
    <row r="118" spans="1:9" hidden="1" x14ac:dyDescent="0.25">
      <c r="A118"/>
      <c r="B118" s="59" t="s">
        <v>296</v>
      </c>
      <c r="C118" s="41" t="s">
        <v>297</v>
      </c>
      <c r="D118" s="13"/>
      <c r="E118" s="13"/>
      <c r="F118" s="14">
        <f t="shared" ref="F118:F125" si="34">+E118+D118</f>
        <v>0</v>
      </c>
      <c r="G118" s="13"/>
      <c r="H118" s="13"/>
      <c r="I118" s="14">
        <f t="shared" ref="I118:I125" si="35">+H118+G118</f>
        <v>0</v>
      </c>
    </row>
    <row r="119" spans="1:9" hidden="1" x14ac:dyDescent="0.25">
      <c r="B119" s="59" t="s">
        <v>298</v>
      </c>
      <c r="C119" s="41" t="s">
        <v>299</v>
      </c>
      <c r="D119" s="13"/>
      <c r="E119" s="13"/>
      <c r="F119" s="14">
        <f t="shared" si="34"/>
        <v>0</v>
      </c>
      <c r="G119" s="13"/>
      <c r="H119" s="13"/>
      <c r="I119" s="14">
        <f t="shared" si="35"/>
        <v>0</v>
      </c>
    </row>
    <row r="120" spans="1:9" x14ac:dyDescent="0.25">
      <c r="A120" s="19" t="s">
        <v>599</v>
      </c>
      <c r="B120" s="59" t="s">
        <v>300</v>
      </c>
      <c r="C120" s="41" t="s">
        <v>301</v>
      </c>
      <c r="D120" s="13">
        <v>487071987</v>
      </c>
      <c r="E120" s="13"/>
      <c r="F120" s="14">
        <f t="shared" si="34"/>
        <v>487071987</v>
      </c>
      <c r="G120" s="13">
        <v>487745493</v>
      </c>
      <c r="H120" s="13"/>
      <c r="I120" s="14">
        <f t="shared" si="35"/>
        <v>487745493</v>
      </c>
    </row>
    <row r="121" spans="1:9" s="185" customFormat="1" x14ac:dyDescent="0.25">
      <c r="B121" s="186" t="s">
        <v>594</v>
      </c>
      <c r="C121" s="101"/>
      <c r="D121" s="80">
        <v>398165944</v>
      </c>
      <c r="E121" s="80"/>
      <c r="F121" s="93">
        <f t="shared" si="34"/>
        <v>398165944</v>
      </c>
      <c r="G121" s="80">
        <f>+G120-G122</f>
        <v>398839450</v>
      </c>
      <c r="H121" s="80"/>
      <c r="I121" s="93">
        <f t="shared" si="35"/>
        <v>398839450</v>
      </c>
    </row>
    <row r="122" spans="1:9" s="185" customFormat="1" x14ac:dyDescent="0.25">
      <c r="B122" s="187" t="s">
        <v>586</v>
      </c>
      <c r="C122" s="101"/>
      <c r="D122" s="80">
        <f>+D120-D121</f>
        <v>88906043</v>
      </c>
      <c r="E122" s="80">
        <f>+E120-E121</f>
        <v>0</v>
      </c>
      <c r="F122" s="93">
        <f t="shared" si="34"/>
        <v>88906043</v>
      </c>
      <c r="G122" s="80">
        <f>+D122</f>
        <v>88906043</v>
      </c>
      <c r="H122" s="80">
        <f>+H120-H121</f>
        <v>0</v>
      </c>
      <c r="I122" s="93">
        <f t="shared" si="35"/>
        <v>88906043</v>
      </c>
    </row>
    <row r="123" spans="1:9" hidden="1" x14ac:dyDescent="0.25">
      <c r="B123" s="59" t="s">
        <v>302</v>
      </c>
      <c r="C123" s="41" t="s">
        <v>303</v>
      </c>
      <c r="D123" s="13"/>
      <c r="E123" s="13"/>
      <c r="F123" s="14">
        <f t="shared" si="34"/>
        <v>0</v>
      </c>
      <c r="G123" s="13"/>
      <c r="H123" s="13"/>
      <c r="I123" s="14">
        <f t="shared" si="35"/>
        <v>0</v>
      </c>
    </row>
    <row r="124" spans="1:9" hidden="1" x14ac:dyDescent="0.25">
      <c r="B124" s="54" t="s">
        <v>304</v>
      </c>
      <c r="C124" s="41" t="s">
        <v>305</v>
      </c>
      <c r="D124" s="13"/>
      <c r="E124" s="13"/>
      <c r="F124" s="14">
        <f t="shared" si="34"/>
        <v>0</v>
      </c>
      <c r="G124" s="13"/>
      <c r="H124" s="13"/>
      <c r="I124" s="14">
        <f t="shared" si="35"/>
        <v>0</v>
      </c>
    </row>
    <row r="125" spans="1:9" hidden="1" x14ac:dyDescent="0.25">
      <c r="B125" s="54" t="s">
        <v>306</v>
      </c>
      <c r="C125" s="41" t="s">
        <v>307</v>
      </c>
      <c r="D125" s="13"/>
      <c r="E125" s="13"/>
      <c r="F125" s="14">
        <f t="shared" si="34"/>
        <v>0</v>
      </c>
      <c r="G125" s="13"/>
      <c r="H125" s="13"/>
      <c r="I125" s="14">
        <f t="shared" si="35"/>
        <v>0</v>
      </c>
    </row>
    <row r="126" spans="1:9" x14ac:dyDescent="0.25">
      <c r="B126" s="45" t="s">
        <v>308</v>
      </c>
      <c r="C126" s="44" t="s">
        <v>309</v>
      </c>
      <c r="D126" s="14">
        <f>SUM(D118:D125)+D117+D112+D111-D121-D122</f>
        <v>487071987</v>
      </c>
      <c r="E126" s="14">
        <f>SUM(E118:E125)+E117+E112+E111-E121-E122</f>
        <v>0</v>
      </c>
      <c r="F126" s="14">
        <f>SUM(F118:F124)+F117+F112+F111-F121-F122</f>
        <v>487071987</v>
      </c>
      <c r="G126" s="14">
        <f>SUM(G118:G125)+G117+G112+G111-G121-G122</f>
        <v>487745493</v>
      </c>
      <c r="H126" s="14">
        <f>SUM(H118:H125)+H117+H112+H111-H121-H122</f>
        <v>0</v>
      </c>
      <c r="I126" s="14">
        <f>SUM(I118:I124)+I117+I112+I111-I121-I122</f>
        <v>487745493</v>
      </c>
    </row>
    <row r="127" spans="1:9" hidden="1" x14ac:dyDescent="0.25">
      <c r="B127" s="59" t="s">
        <v>310</v>
      </c>
      <c r="C127" s="41" t="s">
        <v>311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4" t="s">
        <v>312</v>
      </c>
      <c r="C128" s="41" t="s">
        <v>313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4" t="s">
        <v>314</v>
      </c>
      <c r="C129" s="41" t="s">
        <v>315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2" t="s">
        <v>316</v>
      </c>
      <c r="C130" s="63" t="s">
        <v>317</v>
      </c>
      <c r="D130" s="57">
        <f>+D128+D127+D126+D129</f>
        <v>487071987</v>
      </c>
      <c r="E130" s="57">
        <f>+E128+E127+E126+E129</f>
        <v>0</v>
      </c>
      <c r="F130" s="57">
        <f>+F129+F127+F126</f>
        <v>487071987</v>
      </c>
      <c r="G130" s="57">
        <f>+G128+G127+G126+G129</f>
        <v>487745493</v>
      </c>
      <c r="H130" s="57">
        <f>+H128+H127+H126+H129</f>
        <v>0</v>
      </c>
      <c r="I130" s="57">
        <f>+I129+I127+I126</f>
        <v>487745493</v>
      </c>
    </row>
    <row r="131" spans="2:9" x14ac:dyDescent="0.25">
      <c r="B131" s="17" t="s">
        <v>318</v>
      </c>
      <c r="C131" s="17" t="s">
        <v>319</v>
      </c>
      <c r="D131" s="18">
        <f t="shared" ref="D131:I131" si="36">+D108+D130</f>
        <v>570000046</v>
      </c>
      <c r="E131" s="18">
        <f t="shared" si="36"/>
        <v>0</v>
      </c>
      <c r="F131" s="18">
        <f t="shared" si="36"/>
        <v>570000046</v>
      </c>
      <c r="G131" s="18">
        <f t="shared" si="36"/>
        <v>570673552</v>
      </c>
      <c r="H131" s="18">
        <f t="shared" si="36"/>
        <v>0</v>
      </c>
      <c r="I131" s="18">
        <f t="shared" si="36"/>
        <v>570673552</v>
      </c>
    </row>
    <row r="132" spans="2:9" x14ac:dyDescent="0.25">
      <c r="B132" s="2"/>
      <c r="C132" s="2"/>
      <c r="D132" s="3"/>
      <c r="E132" s="3"/>
      <c r="F132" s="65"/>
      <c r="G132" s="3"/>
      <c r="H132" s="3"/>
      <c r="I132" s="65"/>
    </row>
    <row r="133" spans="2:9" x14ac:dyDescent="0.25">
      <c r="B133" s="15" t="s">
        <v>320</v>
      </c>
      <c r="C133" s="15"/>
      <c r="D133" s="14">
        <f t="shared" ref="D133:I133" si="37">+D108-D58</f>
        <v>-487071987</v>
      </c>
      <c r="E133" s="14">
        <f t="shared" si="37"/>
        <v>0</v>
      </c>
      <c r="F133" s="14">
        <f t="shared" si="37"/>
        <v>-487071987</v>
      </c>
      <c r="G133" s="14">
        <f t="shared" si="37"/>
        <v>-487745493</v>
      </c>
      <c r="H133" s="14">
        <f t="shared" si="37"/>
        <v>0</v>
      </c>
      <c r="I133" s="14">
        <f t="shared" si="37"/>
        <v>-487745493</v>
      </c>
    </row>
    <row r="134" spans="2:9" x14ac:dyDescent="0.25">
      <c r="B134" s="15" t="s">
        <v>321</v>
      </c>
      <c r="C134" s="15"/>
      <c r="D134" s="14">
        <f t="shared" ref="D134:I134" si="38">+D130-D63</f>
        <v>487071987</v>
      </c>
      <c r="E134" s="14">
        <f t="shared" si="38"/>
        <v>0</v>
      </c>
      <c r="F134" s="14">
        <f t="shared" si="38"/>
        <v>487071987</v>
      </c>
      <c r="G134" s="14">
        <f t="shared" si="38"/>
        <v>487745493</v>
      </c>
      <c r="H134" s="14">
        <f t="shared" si="38"/>
        <v>0</v>
      </c>
      <c r="I134" s="14">
        <f t="shared" si="38"/>
        <v>487745493</v>
      </c>
    </row>
    <row r="135" spans="2:9" x14ac:dyDescent="0.25">
      <c r="B135" s="2"/>
      <c r="C135" s="2"/>
      <c r="D135" s="3"/>
      <c r="E135" s="3"/>
      <c r="F135" s="65"/>
      <c r="G135" s="3"/>
      <c r="H135" s="3"/>
      <c r="I135" s="65"/>
    </row>
    <row r="136" spans="2:9" x14ac:dyDescent="0.25">
      <c r="B136" s="70" t="s">
        <v>324</v>
      </c>
      <c r="C136" s="2"/>
      <c r="D136" s="3">
        <f t="shared" ref="D136:I136" si="39">+D131-D64</f>
        <v>0</v>
      </c>
      <c r="E136" s="3">
        <f t="shared" si="39"/>
        <v>0</v>
      </c>
      <c r="F136" s="3">
        <f t="shared" si="39"/>
        <v>0</v>
      </c>
      <c r="G136" s="3">
        <f t="shared" si="39"/>
        <v>0</v>
      </c>
      <c r="H136" s="3">
        <f t="shared" si="39"/>
        <v>0</v>
      </c>
      <c r="I136" s="3">
        <f t="shared" si="39"/>
        <v>0</v>
      </c>
    </row>
    <row r="137" spans="2:9" x14ac:dyDescent="0.25">
      <c r="B137" s="2"/>
      <c r="C137" s="2"/>
      <c r="D137" s="3"/>
      <c r="E137" s="3"/>
      <c r="F137" s="65"/>
      <c r="G137" s="3"/>
      <c r="H137" s="3"/>
      <c r="I137" s="65"/>
    </row>
    <row r="138" spans="2:9" x14ac:dyDescent="0.25">
      <c r="B138" s="2"/>
      <c r="C138" s="2"/>
      <c r="D138" s="3"/>
      <c r="E138" s="3"/>
      <c r="F138" s="65"/>
      <c r="G138" s="3"/>
      <c r="H138" s="3"/>
      <c r="I138" s="65"/>
    </row>
    <row r="139" spans="2:9" x14ac:dyDescent="0.25">
      <c r="B139" s="2"/>
      <c r="C139" s="2"/>
      <c r="D139" s="3"/>
      <c r="E139" s="3"/>
      <c r="F139" s="65"/>
      <c r="G139" s="3"/>
      <c r="H139" s="3"/>
      <c r="I139" s="65"/>
    </row>
    <row r="140" spans="2:9" x14ac:dyDescent="0.25">
      <c r="B140" s="2"/>
      <c r="C140" s="2"/>
      <c r="D140" s="3"/>
      <c r="E140" s="3"/>
      <c r="F140" s="65"/>
      <c r="G140" s="3"/>
      <c r="H140" s="3"/>
      <c r="I140" s="65"/>
    </row>
    <row r="141" spans="2:9" x14ac:dyDescent="0.25">
      <c r="B141" s="2"/>
      <c r="C141" s="2"/>
      <c r="D141" s="3"/>
      <c r="E141" s="3"/>
      <c r="F141" s="65"/>
      <c r="G141" s="3"/>
      <c r="H141" s="3"/>
      <c r="I141" s="65"/>
    </row>
    <row r="142" spans="2:9" x14ac:dyDescent="0.25">
      <c r="B142" s="2"/>
      <c r="C142" s="2"/>
      <c r="D142" s="3"/>
      <c r="E142" s="3"/>
      <c r="F142" s="65"/>
      <c r="G142" s="3"/>
      <c r="H142" s="3"/>
      <c r="I142" s="65"/>
    </row>
    <row r="143" spans="2:9" x14ac:dyDescent="0.25">
      <c r="B143" s="2"/>
      <c r="C143" s="2"/>
      <c r="D143" s="3"/>
      <c r="E143" s="3"/>
      <c r="F143" s="65"/>
      <c r="G143" s="3"/>
      <c r="H143" s="3"/>
      <c r="I143" s="65"/>
    </row>
    <row r="144" spans="2:9" x14ac:dyDescent="0.25">
      <c r="B144" s="2"/>
      <c r="C144" s="2"/>
      <c r="D144" s="3"/>
      <c r="E144" s="3"/>
      <c r="F144" s="65"/>
      <c r="G144" s="3"/>
      <c r="H144" s="3"/>
      <c r="I144" s="65"/>
    </row>
    <row r="145" spans="2:9" x14ac:dyDescent="0.25">
      <c r="B145" s="2"/>
      <c r="C145" s="2"/>
      <c r="D145" s="3"/>
      <c r="E145" s="3"/>
      <c r="F145" s="65"/>
      <c r="G145" s="3"/>
      <c r="H145" s="3"/>
      <c r="I145" s="65"/>
    </row>
    <row r="146" spans="2:9" x14ac:dyDescent="0.25">
      <c r="B146" s="2"/>
      <c r="C146" s="2"/>
      <c r="D146" s="3"/>
      <c r="E146" s="3"/>
      <c r="F146" s="65"/>
      <c r="G146" s="3"/>
      <c r="H146" s="3"/>
      <c r="I146" s="65"/>
    </row>
    <row r="147" spans="2:9" x14ac:dyDescent="0.25">
      <c r="B147" s="2"/>
      <c r="C147" s="2"/>
      <c r="D147" s="3"/>
      <c r="E147" s="3"/>
      <c r="F147" s="65"/>
      <c r="G147" s="3"/>
      <c r="H147" s="3"/>
      <c r="I147" s="65"/>
    </row>
    <row r="148" spans="2:9" x14ac:dyDescent="0.25">
      <c r="B148" s="2"/>
      <c r="C148" s="2"/>
      <c r="D148" s="3"/>
      <c r="E148" s="3"/>
      <c r="F148" s="65"/>
      <c r="G148" s="3"/>
      <c r="H148" s="3"/>
      <c r="I148" s="65"/>
    </row>
    <row r="149" spans="2:9" x14ac:dyDescent="0.25">
      <c r="B149" s="2"/>
      <c r="C149" s="2"/>
      <c r="D149" s="3"/>
      <c r="E149" s="3"/>
      <c r="F149" s="65"/>
      <c r="G149" s="3"/>
      <c r="H149" s="3"/>
      <c r="I149" s="65"/>
    </row>
    <row r="150" spans="2:9" x14ac:dyDescent="0.25">
      <c r="B150" s="2"/>
      <c r="C150" s="2"/>
      <c r="D150" s="3"/>
      <c r="E150" s="3"/>
      <c r="F150" s="65"/>
      <c r="G150" s="3"/>
      <c r="H150" s="3"/>
      <c r="I150" s="65"/>
    </row>
    <row r="151" spans="2:9" x14ac:dyDescent="0.25">
      <c r="B151" s="2"/>
      <c r="C151" s="2"/>
      <c r="D151" s="3"/>
      <c r="E151" s="3"/>
      <c r="F151" s="65"/>
      <c r="G151" s="3"/>
      <c r="H151" s="3"/>
      <c r="I151" s="65"/>
    </row>
    <row r="152" spans="2:9" x14ac:dyDescent="0.25">
      <c r="B152" s="2"/>
      <c r="C152" s="2"/>
      <c r="D152" s="3"/>
      <c r="E152" s="3"/>
      <c r="F152" s="65"/>
      <c r="G152" s="3"/>
      <c r="H152" s="3"/>
      <c r="I152" s="65"/>
    </row>
    <row r="153" spans="2:9" x14ac:dyDescent="0.25">
      <c r="B153" s="2"/>
      <c r="C153" s="2"/>
      <c r="D153" s="3"/>
      <c r="E153" s="3"/>
      <c r="F153" s="65"/>
      <c r="G153" s="3"/>
      <c r="H153" s="3"/>
      <c r="I153" s="65"/>
    </row>
    <row r="154" spans="2:9" x14ac:dyDescent="0.25">
      <c r="B154" s="2"/>
      <c r="C154" s="2"/>
      <c r="D154" s="3"/>
      <c r="E154" s="3"/>
      <c r="F154" s="65"/>
      <c r="G154" s="3"/>
      <c r="H154" s="3"/>
      <c r="I154" s="65"/>
    </row>
    <row r="155" spans="2:9" x14ac:dyDescent="0.25">
      <c r="B155" s="2"/>
      <c r="C155" s="2"/>
      <c r="D155" s="3"/>
      <c r="E155" s="3"/>
      <c r="F155" s="65"/>
      <c r="G155" s="3"/>
      <c r="H155" s="3"/>
      <c r="I155" s="65"/>
    </row>
    <row r="156" spans="2:9" x14ac:dyDescent="0.25">
      <c r="B156" s="2"/>
      <c r="C156" s="2"/>
      <c r="D156" s="3"/>
      <c r="E156" s="3"/>
      <c r="F156" s="65"/>
      <c r="G156" s="3"/>
      <c r="H156" s="3"/>
      <c r="I156" s="65"/>
    </row>
    <row r="157" spans="2:9" x14ac:dyDescent="0.25">
      <c r="B157" s="2"/>
      <c r="C157" s="2"/>
      <c r="D157" s="3"/>
      <c r="E157" s="3"/>
      <c r="F157" s="65"/>
      <c r="G157" s="3"/>
      <c r="H157" s="3"/>
      <c r="I157" s="65"/>
    </row>
    <row r="158" spans="2:9" x14ac:dyDescent="0.25">
      <c r="B158" s="2"/>
      <c r="C158" s="2"/>
      <c r="D158" s="3"/>
      <c r="E158" s="3"/>
      <c r="F158" s="65"/>
      <c r="G158" s="3"/>
      <c r="H158" s="3"/>
      <c r="I158" s="65"/>
    </row>
    <row r="159" spans="2:9" x14ac:dyDescent="0.25">
      <c r="B159" s="2"/>
      <c r="C159" s="2"/>
      <c r="D159" s="3"/>
      <c r="E159" s="3"/>
      <c r="F159" s="65"/>
      <c r="G159" s="3"/>
      <c r="H159" s="3"/>
      <c r="I159" s="65"/>
    </row>
    <row r="160" spans="2:9" x14ac:dyDescent="0.25">
      <c r="B160" s="2"/>
      <c r="C160" s="2"/>
      <c r="D160" s="3"/>
      <c r="E160" s="3"/>
      <c r="F160" s="65"/>
      <c r="G160" s="3"/>
      <c r="H160" s="3"/>
      <c r="I160" s="65"/>
    </row>
    <row r="161" spans="2:9" x14ac:dyDescent="0.25">
      <c r="B161" s="2"/>
      <c r="C161" s="2"/>
      <c r="D161" s="3"/>
      <c r="E161" s="3"/>
      <c r="F161" s="65"/>
      <c r="G161" s="3"/>
      <c r="H161" s="3"/>
      <c r="I161" s="65"/>
    </row>
    <row r="162" spans="2:9" x14ac:dyDescent="0.25">
      <c r="B162" s="2"/>
      <c r="C162" s="2"/>
      <c r="D162" s="3"/>
      <c r="E162" s="3"/>
      <c r="F162" s="65"/>
      <c r="G162" s="3"/>
      <c r="H162" s="3"/>
      <c r="I162" s="65"/>
    </row>
    <row r="163" spans="2:9" x14ac:dyDescent="0.25">
      <c r="B163" s="2"/>
      <c r="C163" s="2"/>
      <c r="D163" s="3"/>
      <c r="E163" s="3"/>
      <c r="F163" s="65"/>
      <c r="G163" s="3"/>
      <c r="H163" s="3"/>
      <c r="I163" s="65"/>
    </row>
    <row r="164" spans="2:9" x14ac:dyDescent="0.25">
      <c r="B164" s="2"/>
      <c r="C164" s="2"/>
      <c r="D164" s="3"/>
      <c r="E164" s="3"/>
      <c r="F164" s="65"/>
      <c r="G164" s="3"/>
      <c r="H164" s="3"/>
      <c r="I164" s="65"/>
    </row>
    <row r="165" spans="2:9" x14ac:dyDescent="0.25">
      <c r="B165" s="2"/>
      <c r="C165" s="2"/>
      <c r="D165" s="3"/>
      <c r="E165" s="3"/>
      <c r="F165" s="65"/>
      <c r="G165" s="3"/>
      <c r="H165" s="3"/>
      <c r="I165" s="65"/>
    </row>
    <row r="166" spans="2:9" x14ac:dyDescent="0.25">
      <c r="B166" s="2"/>
      <c r="C166" s="2"/>
      <c r="D166" s="3"/>
      <c r="E166" s="3"/>
      <c r="F166" s="65"/>
      <c r="G166" s="3"/>
      <c r="H166" s="3"/>
      <c r="I166" s="65"/>
    </row>
    <row r="167" spans="2:9" x14ac:dyDescent="0.25">
      <c r="B167" s="2"/>
      <c r="C167" s="2"/>
      <c r="D167" s="3"/>
      <c r="E167" s="3"/>
      <c r="F167" s="65"/>
      <c r="G167" s="3"/>
      <c r="H167" s="3"/>
      <c r="I167" s="65"/>
    </row>
    <row r="168" spans="2:9" x14ac:dyDescent="0.25">
      <c r="B168" s="2"/>
      <c r="C168" s="2"/>
      <c r="D168" s="3"/>
      <c r="E168" s="3"/>
      <c r="F168" s="65"/>
      <c r="G168" s="3"/>
      <c r="H168" s="3"/>
      <c r="I168" s="65"/>
    </row>
    <row r="169" spans="2:9" x14ac:dyDescent="0.25">
      <c r="B169" s="2"/>
      <c r="C169" s="2"/>
      <c r="D169" s="3"/>
      <c r="E169" s="3"/>
      <c r="F169" s="65"/>
      <c r="G169" s="3"/>
      <c r="H169" s="3"/>
      <c r="I169" s="65"/>
    </row>
    <row r="170" spans="2:9" x14ac:dyDescent="0.25">
      <c r="B170" s="2"/>
      <c r="C170" s="2"/>
      <c r="D170" s="3"/>
      <c r="E170" s="3"/>
      <c r="F170" s="65"/>
      <c r="G170" s="3"/>
      <c r="H170" s="3"/>
      <c r="I170" s="65"/>
    </row>
    <row r="171" spans="2:9" x14ac:dyDescent="0.25">
      <c r="B171" s="2"/>
      <c r="C171" s="2"/>
      <c r="D171" s="3"/>
      <c r="E171" s="3"/>
      <c r="F171" s="65"/>
      <c r="G171" s="3"/>
      <c r="H171" s="3"/>
      <c r="I171" s="65"/>
    </row>
    <row r="172" spans="2:9" x14ac:dyDescent="0.25">
      <c r="B172" s="2"/>
      <c r="C172" s="2"/>
      <c r="D172" s="3"/>
      <c r="E172" s="3"/>
      <c r="F172" s="65"/>
      <c r="G172" s="3"/>
      <c r="H172" s="3"/>
      <c r="I172" s="65"/>
    </row>
    <row r="173" spans="2:9" x14ac:dyDescent="0.25">
      <c r="B173" s="2"/>
      <c r="C173" s="2"/>
      <c r="D173" s="3"/>
      <c r="E173" s="3"/>
      <c r="F173" s="65"/>
      <c r="G173" s="3"/>
      <c r="H173" s="3"/>
      <c r="I173" s="65"/>
    </row>
    <row r="174" spans="2:9" x14ac:dyDescent="0.25">
      <c r="B174" s="2"/>
      <c r="C174" s="2"/>
      <c r="D174" s="3"/>
      <c r="E174" s="3"/>
      <c r="F174" s="65"/>
      <c r="G174" s="3"/>
      <c r="H174" s="3"/>
      <c r="I174" s="65"/>
    </row>
    <row r="175" spans="2:9" x14ac:dyDescent="0.25">
      <c r="B175" s="2"/>
      <c r="C175" s="2"/>
      <c r="D175" s="3"/>
      <c r="E175" s="3"/>
      <c r="F175" s="65"/>
      <c r="G175" s="3"/>
      <c r="H175" s="3"/>
      <c r="I175" s="65"/>
    </row>
    <row r="176" spans="2:9" x14ac:dyDescent="0.25">
      <c r="B176" s="2"/>
      <c r="C176" s="2"/>
      <c r="D176" s="3"/>
      <c r="E176" s="3"/>
      <c r="F176" s="65"/>
      <c r="G176" s="3"/>
      <c r="H176" s="3"/>
      <c r="I176" s="65"/>
    </row>
    <row r="177" spans="2:9" x14ac:dyDescent="0.25">
      <c r="B177" s="2"/>
      <c r="C177" s="2"/>
      <c r="D177" s="3"/>
      <c r="E177" s="3"/>
      <c r="F177" s="65"/>
      <c r="G177" s="3"/>
      <c r="H177" s="3"/>
      <c r="I177" s="65"/>
    </row>
    <row r="178" spans="2:9" x14ac:dyDescent="0.25">
      <c r="B178" s="2"/>
      <c r="C178" s="2"/>
      <c r="D178" s="3"/>
      <c r="E178" s="3"/>
      <c r="F178" s="65"/>
      <c r="G178" s="3"/>
      <c r="H178" s="3"/>
      <c r="I178" s="65"/>
    </row>
    <row r="179" spans="2:9" x14ac:dyDescent="0.25">
      <c r="B179" s="2"/>
      <c r="C179" s="2"/>
      <c r="D179" s="3"/>
      <c r="E179" s="3"/>
      <c r="F179" s="65"/>
      <c r="G179" s="3"/>
      <c r="H179" s="3"/>
      <c r="I179" s="65"/>
    </row>
    <row r="180" spans="2:9" x14ac:dyDescent="0.25">
      <c r="B180" s="2"/>
      <c r="C180" s="2"/>
      <c r="D180" s="3"/>
      <c r="E180" s="3"/>
      <c r="F180" s="65"/>
      <c r="G180" s="3"/>
      <c r="H180" s="3"/>
      <c r="I180" s="65"/>
    </row>
    <row r="181" spans="2:9" x14ac:dyDescent="0.25">
      <c r="B181" s="2"/>
      <c r="C181" s="2"/>
      <c r="D181" s="3"/>
      <c r="E181" s="3"/>
      <c r="F181" s="65"/>
      <c r="G181" s="3"/>
      <c r="H181" s="3"/>
      <c r="I181" s="65"/>
    </row>
    <row r="182" spans="2:9" x14ac:dyDescent="0.25">
      <c r="B182" s="2"/>
      <c r="C182" s="2"/>
      <c r="D182" s="3"/>
      <c r="E182" s="3"/>
      <c r="F182" s="65"/>
      <c r="G182" s="3"/>
      <c r="H182" s="3"/>
      <c r="I182" s="65"/>
    </row>
    <row r="183" spans="2:9" x14ac:dyDescent="0.25">
      <c r="B183" s="2"/>
      <c r="C183" s="2"/>
      <c r="D183" s="3"/>
      <c r="E183" s="3"/>
      <c r="F183" s="65"/>
      <c r="G183" s="3"/>
      <c r="H183" s="3"/>
      <c r="I183" s="65"/>
    </row>
    <row r="184" spans="2:9" x14ac:dyDescent="0.25">
      <c r="B184" s="2"/>
      <c r="C184" s="2"/>
      <c r="D184" s="3"/>
      <c r="E184" s="3"/>
      <c r="F184" s="65"/>
      <c r="G184" s="3"/>
      <c r="H184" s="3"/>
      <c r="I184" s="65"/>
    </row>
    <row r="185" spans="2:9" x14ac:dyDescent="0.25">
      <c r="B185" s="2"/>
      <c r="C185" s="2"/>
      <c r="D185" s="3"/>
      <c r="E185" s="3"/>
      <c r="F185" s="65"/>
      <c r="G185" s="3"/>
      <c r="H185" s="3"/>
      <c r="I185" s="65"/>
    </row>
    <row r="186" spans="2:9" x14ac:dyDescent="0.25">
      <c r="B186" s="2"/>
      <c r="C186" s="2"/>
      <c r="D186" s="3"/>
      <c r="E186" s="3"/>
      <c r="F186" s="65"/>
      <c r="G186" s="3"/>
      <c r="H186" s="3"/>
      <c r="I186" s="65"/>
    </row>
    <row r="187" spans="2:9" x14ac:dyDescent="0.25">
      <c r="B187" s="2"/>
      <c r="C187" s="2"/>
      <c r="D187" s="3"/>
      <c r="E187" s="3"/>
      <c r="F187" s="65"/>
      <c r="G187" s="3"/>
      <c r="H187" s="3"/>
      <c r="I187" s="65"/>
    </row>
    <row r="188" spans="2:9" x14ac:dyDescent="0.25">
      <c r="B188" s="2"/>
      <c r="C188" s="2"/>
      <c r="D188" s="3"/>
      <c r="E188" s="3"/>
      <c r="F188" s="65"/>
      <c r="G188" s="3"/>
      <c r="H188" s="3"/>
      <c r="I188" s="65"/>
    </row>
    <row r="189" spans="2:9" x14ac:dyDescent="0.25">
      <c r="B189" s="2"/>
      <c r="C189" s="2"/>
      <c r="D189" s="3"/>
      <c r="E189" s="3"/>
      <c r="F189" s="65"/>
      <c r="G189" s="3"/>
      <c r="H189" s="3"/>
      <c r="I189" s="65"/>
    </row>
    <row r="190" spans="2:9" x14ac:dyDescent="0.25">
      <c r="B190" s="2"/>
      <c r="C190" s="2"/>
      <c r="D190" s="3"/>
      <c r="E190" s="3"/>
      <c r="F190" s="65"/>
      <c r="G190" s="3"/>
      <c r="H190" s="3"/>
      <c r="I190" s="65"/>
    </row>
    <row r="191" spans="2:9" x14ac:dyDescent="0.25">
      <c r="B191" s="2"/>
      <c r="C191" s="2"/>
      <c r="D191" s="3"/>
      <c r="E191" s="3"/>
      <c r="F191" s="65"/>
      <c r="G191" s="3"/>
      <c r="H191" s="3"/>
      <c r="I191" s="65"/>
    </row>
    <row r="192" spans="2:9" x14ac:dyDescent="0.25">
      <c r="B192" s="2"/>
      <c r="C192" s="2"/>
      <c r="D192" s="3"/>
      <c r="E192" s="3"/>
      <c r="F192" s="65"/>
      <c r="G192" s="3"/>
      <c r="H192" s="3"/>
      <c r="I192" s="65"/>
    </row>
    <row r="193" spans="2:9" x14ac:dyDescent="0.25">
      <c r="B193" s="2"/>
      <c r="C193" s="2"/>
      <c r="D193" s="3"/>
      <c r="E193" s="3"/>
      <c r="F193" s="65"/>
      <c r="G193" s="3"/>
      <c r="H193" s="3"/>
      <c r="I193" s="65"/>
    </row>
    <row r="194" spans="2:9" x14ac:dyDescent="0.25">
      <c r="B194" s="2"/>
      <c r="C194" s="2"/>
      <c r="D194" s="3"/>
      <c r="E194" s="3"/>
      <c r="F194" s="65"/>
      <c r="G194" s="3"/>
      <c r="H194" s="3"/>
      <c r="I194" s="65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9930555555555556" right="0.29652777777777778" top="0.59027777777777779" bottom="0.51180555555555551" header="0.51180555555555551" footer="0.31527777777777777"/>
  <pageSetup paperSize="9" scale="56" firstPageNumber="0" orientation="portrait" horizontalDpi="300" verticalDpi="300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M260"/>
  <sheetViews>
    <sheetView view="pageBreakPreview" topLeftCell="C1" zoomScale="80" zoomScaleSheetLayoutView="80" workbookViewId="0">
      <selection activeCell="I1" sqref="I1"/>
    </sheetView>
  </sheetViews>
  <sheetFormatPr defaultColWidth="11.5703125" defaultRowHeight="15.75" x14ac:dyDescent="0.25"/>
  <cols>
    <col min="1" max="1" width="10.7109375" style="19" customWidth="1"/>
    <col min="2" max="2" width="66.140625" style="19" customWidth="1"/>
    <col min="3" max="3" width="10" style="19" customWidth="1"/>
    <col min="4" max="5" width="13.42578125" style="19" customWidth="1"/>
    <col min="6" max="6" width="13.42578125" style="20" customWidth="1"/>
    <col min="7" max="7" width="13.85546875" style="19" customWidth="1"/>
    <col min="8" max="8" width="13" style="19" customWidth="1"/>
    <col min="9" max="9" width="14.28515625" style="20" customWidth="1"/>
    <col min="10" max="247" width="9.140625" style="19" customWidth="1"/>
  </cols>
  <sheetData>
    <row r="1" spans="2:9" s="2" customFormat="1" ht="18.75" x14ac:dyDescent="0.25">
      <c r="I1" s="4" t="s">
        <v>912</v>
      </c>
    </row>
    <row r="2" spans="2:9" s="2" customFormat="1" ht="40.5" x14ac:dyDescent="0.3">
      <c r="B2" s="180" t="s">
        <v>600</v>
      </c>
      <c r="I2" s="5" t="str">
        <f>+'12 Ovi'!I2</f>
        <v>a 2/2020.(II.27. ) önkormányzati rendelethez</v>
      </c>
    </row>
    <row r="3" spans="2:9" s="2" customFormat="1" x14ac:dyDescent="0.25">
      <c r="B3" s="31" t="s">
        <v>768</v>
      </c>
      <c r="C3" s="25"/>
      <c r="D3" s="25"/>
      <c r="E3" s="25"/>
      <c r="F3" s="26"/>
      <c r="G3" s="25"/>
      <c r="H3" s="25"/>
      <c r="I3" s="26"/>
    </row>
    <row r="4" spans="2:9" s="2" customFormat="1" x14ac:dyDescent="0.25">
      <c r="B4" s="29" t="s">
        <v>717</v>
      </c>
      <c r="C4" s="30"/>
      <c r="D4" s="30"/>
      <c r="E4" s="30"/>
      <c r="F4" s="31"/>
      <c r="G4" s="30"/>
      <c r="H4" s="30"/>
      <c r="I4" s="31"/>
    </row>
    <row r="5" spans="2:9" ht="15.75" customHeight="1" x14ac:dyDescent="0.25">
      <c r="B5" s="34"/>
      <c r="D5" s="583" t="s">
        <v>6</v>
      </c>
      <c r="E5" s="583"/>
      <c r="F5" s="583"/>
      <c r="G5" s="583" t="s">
        <v>7</v>
      </c>
      <c r="H5" s="583"/>
      <c r="I5" s="583"/>
    </row>
    <row r="6" spans="2:9" ht="31.5" x14ac:dyDescent="0.25">
      <c r="B6" s="8" t="s">
        <v>8</v>
      </c>
      <c r="C6" s="35" t="s">
        <v>33</v>
      </c>
      <c r="D6" s="36" t="s">
        <v>9</v>
      </c>
      <c r="E6" s="36" t="s">
        <v>10</v>
      </c>
      <c r="F6" s="35" t="s">
        <v>515</v>
      </c>
      <c r="G6" s="36" t="s">
        <v>9</v>
      </c>
      <c r="H6" s="36" t="s">
        <v>10</v>
      </c>
      <c r="I6" s="35" t="s">
        <v>515</v>
      </c>
    </row>
    <row r="7" spans="2:9" x14ac:dyDescent="0.25">
      <c r="B7" s="39" t="s">
        <v>34</v>
      </c>
      <c r="C7" s="40" t="s">
        <v>35</v>
      </c>
      <c r="D7" s="13">
        <f>30532983-D8</f>
        <v>28407983</v>
      </c>
      <c r="E7" s="13">
        <f>637875+218152</f>
        <v>856027</v>
      </c>
      <c r="F7" s="14">
        <f>+D7+E7</f>
        <v>29264010</v>
      </c>
      <c r="G7" s="13">
        <f>30532983-G8</f>
        <v>28407983</v>
      </c>
      <c r="H7" s="13">
        <f>637875+218152</f>
        <v>856027</v>
      </c>
      <c r="I7" s="14">
        <f>+G7+H7</f>
        <v>29264010</v>
      </c>
    </row>
    <row r="8" spans="2:9" x14ac:dyDescent="0.25">
      <c r="B8" s="41" t="s">
        <v>36</v>
      </c>
      <c r="C8" s="40" t="s">
        <v>37</v>
      </c>
      <c r="D8" s="13">
        <f>1955000+170000</f>
        <v>2125000</v>
      </c>
      <c r="E8" s="13">
        <f>106280+93000</f>
        <v>199280</v>
      </c>
      <c r="F8" s="14">
        <f>+D8+E8</f>
        <v>2324280</v>
      </c>
      <c r="G8" s="13">
        <f>1955000+170000</f>
        <v>2125000</v>
      </c>
      <c r="H8" s="13">
        <f>106280+93000</f>
        <v>199280</v>
      </c>
      <c r="I8" s="14">
        <f>+G8+H8</f>
        <v>2324280</v>
      </c>
    </row>
    <row r="9" spans="2:9" x14ac:dyDescent="0.25">
      <c r="B9" s="42" t="s">
        <v>38</v>
      </c>
      <c r="C9" s="43" t="s">
        <v>39</v>
      </c>
      <c r="D9" s="14">
        <f t="shared" ref="D9:I9" si="0">SUM(D7:D8)</f>
        <v>30532983</v>
      </c>
      <c r="E9" s="14">
        <f t="shared" si="0"/>
        <v>1055307</v>
      </c>
      <c r="F9" s="14">
        <f t="shared" si="0"/>
        <v>31588290</v>
      </c>
      <c r="G9" s="14">
        <f>SUM(G7:G8)</f>
        <v>30532983</v>
      </c>
      <c r="H9" s="14">
        <f>SUM(H7:H8)</f>
        <v>1055307</v>
      </c>
      <c r="I9" s="14">
        <f t="shared" si="0"/>
        <v>31588290</v>
      </c>
    </row>
    <row r="10" spans="2:9" x14ac:dyDescent="0.25">
      <c r="B10" s="44" t="s">
        <v>40</v>
      </c>
      <c r="C10" s="43" t="s">
        <v>41</v>
      </c>
      <c r="D10" s="13">
        <v>5319871</v>
      </c>
      <c r="E10" s="13">
        <f>18599+52826+111628+100000</f>
        <v>283053</v>
      </c>
      <c r="F10" s="14">
        <f t="shared" ref="F10:F15" si="1">+D10+E10</f>
        <v>5602924</v>
      </c>
      <c r="G10" s="13">
        <v>5319871</v>
      </c>
      <c r="H10" s="13">
        <f>18599+52826+111628+100000</f>
        <v>283053</v>
      </c>
      <c r="I10" s="14">
        <f t="shared" ref="I10:I15" si="2">+G10+H10</f>
        <v>5602924</v>
      </c>
    </row>
    <row r="11" spans="2:9" x14ac:dyDescent="0.25">
      <c r="B11" s="41" t="s">
        <v>42</v>
      </c>
      <c r="C11" s="40" t="s">
        <v>43</v>
      </c>
      <c r="D11" s="13">
        <v>792000</v>
      </c>
      <c r="E11" s="13">
        <v>146185</v>
      </c>
      <c r="F11" s="14">
        <f t="shared" si="1"/>
        <v>938185</v>
      </c>
      <c r="G11" s="13">
        <v>792000</v>
      </c>
      <c r="H11" s="13">
        <v>146185</v>
      </c>
      <c r="I11" s="14">
        <f t="shared" si="2"/>
        <v>938185</v>
      </c>
    </row>
    <row r="12" spans="2:9" x14ac:dyDescent="0.25">
      <c r="B12" s="41" t="s">
        <v>44</v>
      </c>
      <c r="C12" s="40" t="s">
        <v>45</v>
      </c>
      <c r="D12" s="13">
        <f>350000+200000</f>
        <v>550000</v>
      </c>
      <c r="E12" s="13"/>
      <c r="F12" s="14">
        <f t="shared" si="1"/>
        <v>550000</v>
      </c>
      <c r="G12" s="13">
        <f>350000+200000</f>
        <v>550000</v>
      </c>
      <c r="H12" s="13"/>
      <c r="I12" s="14">
        <f t="shared" si="2"/>
        <v>550000</v>
      </c>
    </row>
    <row r="13" spans="2:9" x14ac:dyDescent="0.25">
      <c r="B13" s="41" t="s">
        <v>46</v>
      </c>
      <c r="C13" s="40" t="s">
        <v>47</v>
      </c>
      <c r="D13" s="13">
        <f>33076066-D12</f>
        <v>32526066</v>
      </c>
      <c r="E13" s="13">
        <f>92000+1946600+391116</f>
        <v>2429716</v>
      </c>
      <c r="F13" s="14">
        <f t="shared" si="1"/>
        <v>34955782</v>
      </c>
      <c r="G13" s="13">
        <f>33076066-G12</f>
        <v>32526066</v>
      </c>
      <c r="H13" s="13">
        <f>92000+1946600+391116</f>
        <v>2429716</v>
      </c>
      <c r="I13" s="14">
        <f t="shared" si="2"/>
        <v>34955782</v>
      </c>
    </row>
    <row r="14" spans="2:9" x14ac:dyDescent="0.25">
      <c r="B14" s="41" t="s">
        <v>48</v>
      </c>
      <c r="C14" s="40" t="s">
        <v>49</v>
      </c>
      <c r="D14" s="13">
        <v>200000</v>
      </c>
      <c r="E14" s="13"/>
      <c r="F14" s="14">
        <f t="shared" si="1"/>
        <v>200000</v>
      </c>
      <c r="G14" s="13">
        <v>200000</v>
      </c>
      <c r="H14" s="13"/>
      <c r="I14" s="14">
        <f t="shared" si="2"/>
        <v>200000</v>
      </c>
    </row>
    <row r="15" spans="2:9" x14ac:dyDescent="0.25">
      <c r="B15" s="41" t="s">
        <v>50</v>
      </c>
      <c r="C15" s="40" t="s">
        <v>51</v>
      </c>
      <c r="D15" s="13">
        <f>8478228+136000+300000</f>
        <v>8914228</v>
      </c>
      <c r="E15" s="13">
        <f>421632+145073</f>
        <v>566705</v>
      </c>
      <c r="F15" s="14">
        <f t="shared" si="1"/>
        <v>9480933</v>
      </c>
      <c r="G15" s="13">
        <f>8478228+136000+300000</f>
        <v>8914228</v>
      </c>
      <c r="H15" s="13">
        <f>421632+145073</f>
        <v>566705</v>
      </c>
      <c r="I15" s="14">
        <f t="shared" si="2"/>
        <v>9480933</v>
      </c>
    </row>
    <row r="16" spans="2:9" x14ac:dyDescent="0.25">
      <c r="B16" s="44" t="s">
        <v>52</v>
      </c>
      <c r="C16" s="43" t="s">
        <v>53</v>
      </c>
      <c r="D16" s="14">
        <f t="shared" ref="D16:I16" si="3">SUM(D11:D15)</f>
        <v>42982294</v>
      </c>
      <c r="E16" s="14">
        <f t="shared" si="3"/>
        <v>3142606</v>
      </c>
      <c r="F16" s="14">
        <f t="shared" si="3"/>
        <v>46124900</v>
      </c>
      <c r="G16" s="14">
        <f>SUM(G11:G15)</f>
        <v>42982294</v>
      </c>
      <c r="H16" s="14">
        <f>SUM(H11:H15)</f>
        <v>3142606</v>
      </c>
      <c r="I16" s="14">
        <f t="shared" si="3"/>
        <v>46124900</v>
      </c>
    </row>
    <row r="17" spans="2:9" x14ac:dyDescent="0.25">
      <c r="B17" s="45" t="s">
        <v>54</v>
      </c>
      <c r="C17" s="43" t="s">
        <v>55</v>
      </c>
      <c r="D17" s="13"/>
      <c r="E17" s="13"/>
      <c r="F17" s="14">
        <f t="shared" ref="F17:F31" si="4">+D17+E17</f>
        <v>0</v>
      </c>
      <c r="G17" s="13"/>
      <c r="H17" s="13"/>
      <c r="I17" s="14">
        <f t="shared" ref="I17:I31" si="5">+G17+H17</f>
        <v>0</v>
      </c>
    </row>
    <row r="18" spans="2:9" hidden="1" x14ac:dyDescent="0.25">
      <c r="B18" s="46" t="s">
        <v>56</v>
      </c>
      <c r="C18" s="40" t="s">
        <v>57</v>
      </c>
      <c r="D18" s="13"/>
      <c r="E18" s="13"/>
      <c r="F18" s="14">
        <f t="shared" si="4"/>
        <v>0</v>
      </c>
      <c r="G18" s="13"/>
      <c r="H18" s="13"/>
      <c r="I18" s="14">
        <f t="shared" si="5"/>
        <v>0</v>
      </c>
    </row>
    <row r="19" spans="2:9" hidden="1" x14ac:dyDescent="0.25">
      <c r="B19" s="46" t="s">
        <v>58</v>
      </c>
      <c r="C19" s="40" t="s">
        <v>59</v>
      </c>
      <c r="D19" s="13"/>
      <c r="E19" s="13"/>
      <c r="F19" s="14">
        <f t="shared" si="4"/>
        <v>0</v>
      </c>
      <c r="G19" s="13"/>
      <c r="H19" s="13"/>
      <c r="I19" s="14">
        <f t="shared" si="5"/>
        <v>0</v>
      </c>
    </row>
    <row r="20" spans="2:9" ht="31.5" hidden="1" x14ac:dyDescent="0.25">
      <c r="B20" s="46" t="s">
        <v>60</v>
      </c>
      <c r="C20" s="40" t="s">
        <v>61</v>
      </c>
      <c r="D20" s="13"/>
      <c r="E20" s="13"/>
      <c r="F20" s="14">
        <f t="shared" si="4"/>
        <v>0</v>
      </c>
      <c r="G20" s="13"/>
      <c r="H20" s="13"/>
      <c r="I20" s="14">
        <f t="shared" si="5"/>
        <v>0</v>
      </c>
    </row>
    <row r="21" spans="2:9" ht="31.5" hidden="1" x14ac:dyDescent="0.25">
      <c r="B21" s="46" t="s">
        <v>62</v>
      </c>
      <c r="C21" s="40" t="s">
        <v>63</v>
      </c>
      <c r="D21" s="13"/>
      <c r="E21" s="13"/>
      <c r="F21" s="14">
        <f t="shared" si="4"/>
        <v>0</v>
      </c>
      <c r="G21" s="13"/>
      <c r="H21" s="13"/>
      <c r="I21" s="14">
        <f t="shared" si="5"/>
        <v>0</v>
      </c>
    </row>
    <row r="22" spans="2:9" ht="31.5" hidden="1" x14ac:dyDescent="0.25">
      <c r="B22" s="46" t="s">
        <v>587</v>
      </c>
      <c r="C22" s="40" t="s">
        <v>65</v>
      </c>
      <c r="D22" s="13"/>
      <c r="E22" s="13"/>
      <c r="F22" s="14">
        <f t="shared" si="4"/>
        <v>0</v>
      </c>
      <c r="G22" s="13"/>
      <c r="H22" s="13"/>
      <c r="I22" s="14">
        <f t="shared" si="5"/>
        <v>0</v>
      </c>
    </row>
    <row r="23" spans="2:9" hidden="1" x14ac:dyDescent="0.25">
      <c r="B23" s="46" t="s">
        <v>66</v>
      </c>
      <c r="C23" s="40" t="s">
        <v>67</v>
      </c>
      <c r="D23" s="13"/>
      <c r="E23" s="13"/>
      <c r="F23" s="14">
        <f t="shared" si="4"/>
        <v>0</v>
      </c>
      <c r="G23" s="13"/>
      <c r="H23" s="13"/>
      <c r="I23" s="14">
        <f t="shared" si="5"/>
        <v>0</v>
      </c>
    </row>
    <row r="24" spans="2:9" ht="31.5" hidden="1" x14ac:dyDescent="0.25">
      <c r="B24" s="46" t="s">
        <v>68</v>
      </c>
      <c r="C24" s="40" t="s">
        <v>69</v>
      </c>
      <c r="D24" s="13"/>
      <c r="E24" s="13"/>
      <c r="F24" s="14">
        <f t="shared" si="4"/>
        <v>0</v>
      </c>
      <c r="G24" s="13"/>
      <c r="H24" s="13"/>
      <c r="I24" s="14">
        <f t="shared" si="5"/>
        <v>0</v>
      </c>
    </row>
    <row r="25" spans="2:9" ht="31.5" hidden="1" x14ac:dyDescent="0.25">
      <c r="B25" s="46" t="s">
        <v>70</v>
      </c>
      <c r="C25" s="40" t="s">
        <v>71</v>
      </c>
      <c r="D25" s="13"/>
      <c r="E25" s="13"/>
      <c r="F25" s="14">
        <f t="shared" si="4"/>
        <v>0</v>
      </c>
      <c r="G25" s="13"/>
      <c r="H25" s="13"/>
      <c r="I25" s="14">
        <f t="shared" si="5"/>
        <v>0</v>
      </c>
    </row>
    <row r="26" spans="2:9" hidden="1" x14ac:dyDescent="0.25">
      <c r="B26" s="46" t="s">
        <v>72</v>
      </c>
      <c r="C26" s="40" t="s">
        <v>73</v>
      </c>
      <c r="D26" s="13"/>
      <c r="E26" s="13"/>
      <c r="F26" s="14">
        <f t="shared" si="4"/>
        <v>0</v>
      </c>
      <c r="G26" s="13"/>
      <c r="H26" s="13"/>
      <c r="I26" s="14">
        <f t="shared" si="5"/>
        <v>0</v>
      </c>
    </row>
    <row r="27" spans="2:9" hidden="1" x14ac:dyDescent="0.25">
      <c r="B27" s="47" t="s">
        <v>74</v>
      </c>
      <c r="C27" s="40" t="s">
        <v>75</v>
      </c>
      <c r="D27" s="13"/>
      <c r="E27" s="13"/>
      <c r="F27" s="14">
        <f t="shared" si="4"/>
        <v>0</v>
      </c>
      <c r="G27" s="13"/>
      <c r="H27" s="13"/>
      <c r="I27" s="14">
        <f t="shared" si="5"/>
        <v>0</v>
      </c>
    </row>
    <row r="28" spans="2:9" hidden="1" x14ac:dyDescent="0.25">
      <c r="B28" s="47" t="s">
        <v>588</v>
      </c>
      <c r="C28" s="40" t="s">
        <v>77</v>
      </c>
      <c r="D28" s="13"/>
      <c r="E28" s="13"/>
      <c r="F28" s="14">
        <f t="shared" si="4"/>
        <v>0</v>
      </c>
      <c r="G28" s="13"/>
      <c r="H28" s="13"/>
      <c r="I28" s="14">
        <f t="shared" si="5"/>
        <v>0</v>
      </c>
    </row>
    <row r="29" spans="2:9" hidden="1" x14ac:dyDescent="0.25">
      <c r="B29" s="46" t="s">
        <v>78</v>
      </c>
      <c r="C29" s="40" t="s">
        <v>79</v>
      </c>
      <c r="D29" s="13"/>
      <c r="E29" s="13"/>
      <c r="F29" s="14">
        <f t="shared" si="4"/>
        <v>0</v>
      </c>
      <c r="G29" s="13"/>
      <c r="H29" s="13"/>
      <c r="I29" s="14">
        <f t="shared" si="5"/>
        <v>0</v>
      </c>
    </row>
    <row r="30" spans="2:9" hidden="1" x14ac:dyDescent="0.25">
      <c r="B30" s="47" t="s">
        <v>80</v>
      </c>
      <c r="C30" s="40" t="s">
        <v>81</v>
      </c>
      <c r="D30" s="13"/>
      <c r="E30" s="13"/>
      <c r="F30" s="14">
        <f t="shared" si="4"/>
        <v>0</v>
      </c>
      <c r="G30" s="13"/>
      <c r="H30" s="13"/>
      <c r="I30" s="14">
        <f t="shared" si="5"/>
        <v>0</v>
      </c>
    </row>
    <row r="31" spans="2:9" hidden="1" x14ac:dyDescent="0.25">
      <c r="B31" s="47" t="s">
        <v>82</v>
      </c>
      <c r="C31" s="40" t="s">
        <v>81</v>
      </c>
      <c r="D31" s="13"/>
      <c r="E31" s="13"/>
      <c r="F31" s="14">
        <f t="shared" si="4"/>
        <v>0</v>
      </c>
      <c r="G31" s="13"/>
      <c r="H31" s="13"/>
      <c r="I31" s="14">
        <f t="shared" si="5"/>
        <v>0</v>
      </c>
    </row>
    <row r="32" spans="2:9" s="20" customFormat="1" x14ac:dyDescent="0.25">
      <c r="B32" s="45" t="s">
        <v>83</v>
      </c>
      <c r="C32" s="43" t="s">
        <v>84</v>
      </c>
      <c r="D32" s="14">
        <f t="shared" ref="D32:I32" si="6">SUM(D18:D31)</f>
        <v>0</v>
      </c>
      <c r="E32" s="14">
        <f t="shared" si="6"/>
        <v>0</v>
      </c>
      <c r="F32" s="14">
        <f t="shared" si="6"/>
        <v>0</v>
      </c>
      <c r="G32" s="14">
        <f>SUM(G18:G31)</f>
        <v>0</v>
      </c>
      <c r="H32" s="14">
        <f>SUM(H18:H31)</f>
        <v>0</v>
      </c>
      <c r="I32" s="14">
        <f t="shared" si="6"/>
        <v>0</v>
      </c>
    </row>
    <row r="33" spans="2:9" x14ac:dyDescent="0.25">
      <c r="B33" s="48" t="s">
        <v>85</v>
      </c>
      <c r="C33" s="49" t="s">
        <v>86</v>
      </c>
      <c r="D33" s="50">
        <f t="shared" ref="D33:I33" si="7">+D32+D17+D16+D10+D9</f>
        <v>78835148</v>
      </c>
      <c r="E33" s="50">
        <f t="shared" si="7"/>
        <v>4480966</v>
      </c>
      <c r="F33" s="50">
        <f t="shared" si="7"/>
        <v>83316114</v>
      </c>
      <c r="G33" s="50">
        <f>+G32+G17+G16+G10+G9</f>
        <v>78835148</v>
      </c>
      <c r="H33" s="50">
        <f>+H32+H17+H16+H10+H9</f>
        <v>4480966</v>
      </c>
      <c r="I33" s="50">
        <f t="shared" si="7"/>
        <v>83316114</v>
      </c>
    </row>
    <row r="34" spans="2:9" x14ac:dyDescent="0.25">
      <c r="B34" s="51" t="s">
        <v>87</v>
      </c>
      <c r="C34" s="40" t="s">
        <v>88</v>
      </c>
      <c r="D34" s="13"/>
      <c r="E34" s="13"/>
      <c r="F34" s="14">
        <f t="shared" ref="F34:F40" si="8">+D34+E34</f>
        <v>0</v>
      </c>
      <c r="G34" s="13"/>
      <c r="H34" s="13"/>
      <c r="I34" s="14">
        <f t="shared" ref="I34:I40" si="9">+G34+H34</f>
        <v>0</v>
      </c>
    </row>
    <row r="35" spans="2:9" x14ac:dyDescent="0.25">
      <c r="B35" s="51" t="s">
        <v>89</v>
      </c>
      <c r="C35" s="40" t="s">
        <v>90</v>
      </c>
      <c r="D35" s="13"/>
      <c r="E35" s="13"/>
      <c r="F35" s="14">
        <f t="shared" si="8"/>
        <v>0</v>
      </c>
      <c r="G35" s="13"/>
      <c r="H35" s="13"/>
      <c r="I35" s="14">
        <f t="shared" si="9"/>
        <v>0</v>
      </c>
    </row>
    <row r="36" spans="2:9" x14ac:dyDescent="0.25">
      <c r="B36" s="51" t="s">
        <v>91</v>
      </c>
      <c r="C36" s="40" t="s">
        <v>92</v>
      </c>
      <c r="D36" s="13"/>
      <c r="E36" s="13"/>
      <c r="F36" s="14">
        <f t="shared" si="8"/>
        <v>0</v>
      </c>
      <c r="G36" s="13"/>
      <c r="H36" s="13"/>
      <c r="I36" s="14">
        <f t="shared" si="9"/>
        <v>0</v>
      </c>
    </row>
    <row r="37" spans="2:9" x14ac:dyDescent="0.25">
      <c r="B37" s="51" t="s">
        <v>93</v>
      </c>
      <c r="C37" s="40" t="s">
        <v>94</v>
      </c>
      <c r="D37" s="13">
        <v>2000000</v>
      </c>
      <c r="E37" s="13">
        <v>1311042</v>
      </c>
      <c r="F37" s="14">
        <f t="shared" si="8"/>
        <v>3311042</v>
      </c>
      <c r="G37" s="13">
        <v>2000000</v>
      </c>
      <c r="H37" s="13">
        <v>1311042</v>
      </c>
      <c r="I37" s="14">
        <f t="shared" si="9"/>
        <v>3311042</v>
      </c>
    </row>
    <row r="38" spans="2:9" hidden="1" x14ac:dyDescent="0.25">
      <c r="B38" s="52" t="s">
        <v>95</v>
      </c>
      <c r="C38" s="40" t="s">
        <v>96</v>
      </c>
      <c r="D38" s="13"/>
      <c r="E38" s="13"/>
      <c r="F38" s="14">
        <f t="shared" si="8"/>
        <v>0</v>
      </c>
      <c r="G38" s="13"/>
      <c r="H38" s="13"/>
      <c r="I38" s="14">
        <f t="shared" si="9"/>
        <v>0</v>
      </c>
    </row>
    <row r="39" spans="2:9" hidden="1" x14ac:dyDescent="0.25">
      <c r="B39" s="52" t="s">
        <v>97</v>
      </c>
      <c r="C39" s="40" t="s">
        <v>98</v>
      </c>
      <c r="D39" s="13"/>
      <c r="E39" s="13"/>
      <c r="F39" s="14">
        <f t="shared" si="8"/>
        <v>0</v>
      </c>
      <c r="G39" s="13"/>
      <c r="H39" s="13"/>
      <c r="I39" s="14">
        <f t="shared" si="9"/>
        <v>0</v>
      </c>
    </row>
    <row r="40" spans="2:9" x14ac:dyDescent="0.25">
      <c r="B40" s="52" t="s">
        <v>99</v>
      </c>
      <c r="C40" s="40" t="s">
        <v>100</v>
      </c>
      <c r="D40" s="13">
        <v>540000</v>
      </c>
      <c r="E40" s="13">
        <v>354016</v>
      </c>
      <c r="F40" s="14">
        <f t="shared" si="8"/>
        <v>894016</v>
      </c>
      <c r="G40" s="13">
        <v>540000</v>
      </c>
      <c r="H40" s="13">
        <v>354016</v>
      </c>
      <c r="I40" s="14">
        <f t="shared" si="9"/>
        <v>894016</v>
      </c>
    </row>
    <row r="41" spans="2:9" s="20" customFormat="1" x14ac:dyDescent="0.25">
      <c r="B41" s="53" t="s">
        <v>101</v>
      </c>
      <c r="C41" s="43" t="s">
        <v>102</v>
      </c>
      <c r="D41" s="14">
        <f t="shared" ref="D41:I41" si="10">SUM(D34:D40)</f>
        <v>2540000</v>
      </c>
      <c r="E41" s="14">
        <f t="shared" si="10"/>
        <v>1665058</v>
      </c>
      <c r="F41" s="14">
        <f t="shared" si="10"/>
        <v>4205058</v>
      </c>
      <c r="G41" s="14">
        <f t="shared" si="10"/>
        <v>2540000</v>
      </c>
      <c r="H41" s="14">
        <f t="shared" si="10"/>
        <v>1665058</v>
      </c>
      <c r="I41" s="14">
        <f t="shared" si="10"/>
        <v>4205058</v>
      </c>
    </row>
    <row r="42" spans="2:9" x14ac:dyDescent="0.25">
      <c r="B42" s="54" t="s">
        <v>103</v>
      </c>
      <c r="C42" s="40" t="s">
        <v>104</v>
      </c>
      <c r="D42" s="13"/>
      <c r="E42" s="13"/>
      <c r="F42" s="14">
        <f>+D42+E42</f>
        <v>0</v>
      </c>
      <c r="G42" s="13">
        <v>0</v>
      </c>
      <c r="H42" s="13"/>
      <c r="I42" s="14">
        <f>+G42+H42</f>
        <v>0</v>
      </c>
    </row>
    <row r="43" spans="2:9" x14ac:dyDescent="0.25">
      <c r="B43" s="54" t="s">
        <v>105</v>
      </c>
      <c r="C43" s="40" t="s">
        <v>106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4" t="s">
        <v>107</v>
      </c>
      <c r="C44" s="40" t="s">
        <v>108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4" t="s">
        <v>109</v>
      </c>
      <c r="C45" s="40" t="s">
        <v>110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4" t="s">
        <v>111</v>
      </c>
      <c r="C46" s="43" t="s">
        <v>112</v>
      </c>
      <c r="D46" s="14">
        <f t="shared" ref="D46:I46" si="11">SUM(D42:D45)</f>
        <v>0</v>
      </c>
      <c r="E46" s="14">
        <f t="shared" si="11"/>
        <v>0</v>
      </c>
      <c r="F46" s="14">
        <f t="shared" si="11"/>
        <v>0</v>
      </c>
      <c r="G46" s="14">
        <f t="shared" si="11"/>
        <v>0</v>
      </c>
      <c r="H46" s="14">
        <f t="shared" si="11"/>
        <v>0</v>
      </c>
      <c r="I46" s="14">
        <f t="shared" si="11"/>
        <v>0</v>
      </c>
    </row>
    <row r="47" spans="2:9" hidden="1" x14ac:dyDescent="0.25">
      <c r="B47" s="54" t="s">
        <v>589</v>
      </c>
      <c r="C47" s="40" t="s">
        <v>114</v>
      </c>
      <c r="D47" s="13"/>
      <c r="E47" s="13"/>
      <c r="F47" s="14">
        <f t="shared" ref="F47:F55" si="12">+D47+E47</f>
        <v>0</v>
      </c>
      <c r="G47" s="13"/>
      <c r="H47" s="13"/>
      <c r="I47" s="14">
        <f t="shared" ref="I47:I55" si="13">+G47+H47</f>
        <v>0</v>
      </c>
    </row>
    <row r="48" spans="2:9" ht="31.5" hidden="1" x14ac:dyDescent="0.25">
      <c r="B48" s="54" t="s">
        <v>590</v>
      </c>
      <c r="C48" s="40" t="s">
        <v>116</v>
      </c>
      <c r="D48" s="13"/>
      <c r="E48" s="13"/>
      <c r="F48" s="14">
        <f t="shared" si="12"/>
        <v>0</v>
      </c>
      <c r="G48" s="13"/>
      <c r="H48" s="13"/>
      <c r="I48" s="14">
        <f t="shared" si="13"/>
        <v>0</v>
      </c>
    </row>
    <row r="49" spans="2:11" ht="31.5" hidden="1" x14ac:dyDescent="0.25">
      <c r="B49" s="54" t="s">
        <v>117</v>
      </c>
      <c r="C49" s="40" t="s">
        <v>118</v>
      </c>
      <c r="D49" s="13"/>
      <c r="E49" s="13"/>
      <c r="F49" s="14">
        <f t="shared" si="12"/>
        <v>0</v>
      </c>
      <c r="G49" s="13"/>
      <c r="H49" s="13"/>
      <c r="I49" s="14">
        <f t="shared" si="13"/>
        <v>0</v>
      </c>
    </row>
    <row r="50" spans="2:11" hidden="1" x14ac:dyDescent="0.25">
      <c r="B50" s="54" t="s">
        <v>119</v>
      </c>
      <c r="C50" s="40" t="s">
        <v>120</v>
      </c>
      <c r="D50" s="13"/>
      <c r="E50" s="13"/>
      <c r="F50" s="14">
        <f t="shared" si="12"/>
        <v>0</v>
      </c>
      <c r="G50" s="13"/>
      <c r="H50" s="13"/>
      <c r="I50" s="14">
        <f t="shared" si="13"/>
        <v>0</v>
      </c>
    </row>
    <row r="51" spans="2:11" hidden="1" x14ac:dyDescent="0.25">
      <c r="B51" s="54" t="s">
        <v>121</v>
      </c>
      <c r="C51" s="40" t="s">
        <v>122</v>
      </c>
      <c r="D51" s="13"/>
      <c r="E51" s="13"/>
      <c r="F51" s="14">
        <f t="shared" si="12"/>
        <v>0</v>
      </c>
      <c r="G51" s="13"/>
      <c r="H51" s="13"/>
      <c r="I51" s="14">
        <f t="shared" si="13"/>
        <v>0</v>
      </c>
    </row>
    <row r="52" spans="2:11" hidden="1" x14ac:dyDescent="0.25">
      <c r="B52" s="54" t="s">
        <v>123</v>
      </c>
      <c r="C52" s="40" t="s">
        <v>124</v>
      </c>
      <c r="D52" s="13"/>
      <c r="E52" s="13"/>
      <c r="F52" s="14">
        <f t="shared" si="12"/>
        <v>0</v>
      </c>
      <c r="G52" s="13"/>
      <c r="H52" s="13"/>
      <c r="I52" s="14">
        <f t="shared" si="13"/>
        <v>0</v>
      </c>
    </row>
    <row r="53" spans="2:11" hidden="1" x14ac:dyDescent="0.25">
      <c r="B53" s="54" t="s">
        <v>125</v>
      </c>
      <c r="C53" s="40" t="s">
        <v>126</v>
      </c>
      <c r="D53" s="13"/>
      <c r="E53" s="13"/>
      <c r="F53" s="14">
        <f t="shared" si="12"/>
        <v>0</v>
      </c>
      <c r="G53" s="13"/>
      <c r="H53" s="13"/>
      <c r="I53" s="14">
        <f t="shared" si="13"/>
        <v>0</v>
      </c>
    </row>
    <row r="54" spans="2:11" hidden="1" x14ac:dyDescent="0.25">
      <c r="B54" s="47" t="s">
        <v>591</v>
      </c>
      <c r="C54" s="40" t="s">
        <v>128</v>
      </c>
      <c r="D54" s="13"/>
      <c r="E54" s="13"/>
      <c r="F54" s="14">
        <f t="shared" si="12"/>
        <v>0</v>
      </c>
      <c r="G54" s="13"/>
      <c r="H54" s="13"/>
      <c r="I54" s="14">
        <f t="shared" si="13"/>
        <v>0</v>
      </c>
    </row>
    <row r="55" spans="2:11" hidden="1" x14ac:dyDescent="0.25">
      <c r="B55" s="54" t="s">
        <v>129</v>
      </c>
      <c r="C55" s="40" t="s">
        <v>130</v>
      </c>
      <c r="D55" s="13"/>
      <c r="E55" s="13"/>
      <c r="F55" s="14">
        <f t="shared" si="12"/>
        <v>0</v>
      </c>
      <c r="G55" s="13"/>
      <c r="H55" s="13"/>
      <c r="I55" s="14">
        <f t="shared" si="13"/>
        <v>0</v>
      </c>
    </row>
    <row r="56" spans="2:11" s="20" customFormat="1" x14ac:dyDescent="0.25">
      <c r="B56" s="45" t="s">
        <v>131</v>
      </c>
      <c r="C56" s="43" t="s">
        <v>132</v>
      </c>
      <c r="D56" s="14">
        <f t="shared" ref="D56:I56" si="14">SUM(D47:D55)</f>
        <v>0</v>
      </c>
      <c r="E56" s="14">
        <f t="shared" si="14"/>
        <v>0</v>
      </c>
      <c r="F56" s="14">
        <f t="shared" si="14"/>
        <v>0</v>
      </c>
      <c r="G56" s="14">
        <f t="shared" si="14"/>
        <v>0</v>
      </c>
      <c r="H56" s="14">
        <f t="shared" si="14"/>
        <v>0</v>
      </c>
      <c r="I56" s="14">
        <f t="shared" si="14"/>
        <v>0</v>
      </c>
    </row>
    <row r="57" spans="2:11" x14ac:dyDescent="0.25">
      <c r="B57" s="48" t="s">
        <v>133</v>
      </c>
      <c r="C57" s="49" t="s">
        <v>134</v>
      </c>
      <c r="D57" s="50">
        <f t="shared" ref="D57:I57" si="15">+D56+D46+D41</f>
        <v>2540000</v>
      </c>
      <c r="E57" s="50">
        <f t="shared" si="15"/>
        <v>1665058</v>
      </c>
      <c r="F57" s="50">
        <f t="shared" si="15"/>
        <v>4205058</v>
      </c>
      <c r="G57" s="50">
        <f t="shared" si="15"/>
        <v>2540000</v>
      </c>
      <c r="H57" s="50">
        <f t="shared" si="15"/>
        <v>1665058</v>
      </c>
      <c r="I57" s="50">
        <f t="shared" si="15"/>
        <v>4205058</v>
      </c>
    </row>
    <row r="58" spans="2:11" x14ac:dyDescent="0.25">
      <c r="B58" s="55" t="s">
        <v>135</v>
      </c>
      <c r="C58" s="56" t="s">
        <v>136</v>
      </c>
      <c r="D58" s="57">
        <f t="shared" ref="D58:I58" si="16">+D56+D46+D41+D32+D17+D16+D10+D9</f>
        <v>81375148</v>
      </c>
      <c r="E58" s="57">
        <f t="shared" si="16"/>
        <v>6146024</v>
      </c>
      <c r="F58" s="57">
        <f t="shared" si="16"/>
        <v>87521172</v>
      </c>
      <c r="G58" s="57">
        <f t="shared" si="16"/>
        <v>81375148</v>
      </c>
      <c r="H58" s="57">
        <f t="shared" si="16"/>
        <v>6146024</v>
      </c>
      <c r="I58" s="57">
        <f t="shared" si="16"/>
        <v>87521172</v>
      </c>
    </row>
    <row r="59" spans="2:11" hidden="1" x14ac:dyDescent="0.25">
      <c r="B59" s="59" t="s">
        <v>572</v>
      </c>
      <c r="C59" s="41" t="s">
        <v>162</v>
      </c>
      <c r="D59" s="181"/>
      <c r="E59" s="181"/>
      <c r="F59" s="13">
        <f>+D59+E59</f>
        <v>0</v>
      </c>
      <c r="G59" s="181"/>
      <c r="H59" s="181"/>
      <c r="I59" s="13">
        <f>+G59+H59</f>
        <v>0</v>
      </c>
      <c r="J59" s="182"/>
      <c r="K59" s="182"/>
    </row>
    <row r="60" spans="2:11" hidden="1" x14ac:dyDescent="0.25">
      <c r="B60" s="59" t="s">
        <v>163</v>
      </c>
      <c r="C60" s="41" t="s">
        <v>164</v>
      </c>
      <c r="D60" s="181"/>
      <c r="E60" s="181"/>
      <c r="F60" s="13">
        <f>+D60+E60</f>
        <v>0</v>
      </c>
      <c r="G60" s="181"/>
      <c r="H60" s="181"/>
      <c r="I60" s="13">
        <f>+G60+H60</f>
        <v>0</v>
      </c>
      <c r="J60" s="182"/>
      <c r="K60" s="182"/>
    </row>
    <row r="61" spans="2:11" hidden="1" x14ac:dyDescent="0.25">
      <c r="B61" s="54" t="s">
        <v>165</v>
      </c>
      <c r="C61" s="41" t="s">
        <v>166</v>
      </c>
      <c r="D61" s="181"/>
      <c r="E61" s="181"/>
      <c r="F61" s="13">
        <f>+D61+E61</f>
        <v>0</v>
      </c>
      <c r="G61" s="181"/>
      <c r="H61" s="181"/>
      <c r="I61" s="13">
        <f>+G61+H61</f>
        <v>0</v>
      </c>
      <c r="J61" s="183"/>
      <c r="K61" s="183"/>
    </row>
    <row r="62" spans="2:11" hidden="1" x14ac:dyDescent="0.25">
      <c r="B62" s="54" t="s">
        <v>167</v>
      </c>
      <c r="C62" s="41" t="s">
        <v>168</v>
      </c>
      <c r="D62" s="181"/>
      <c r="E62" s="181"/>
      <c r="F62" s="13">
        <f>+D62+E62</f>
        <v>0</v>
      </c>
      <c r="G62" s="181"/>
      <c r="H62" s="181"/>
      <c r="I62" s="13">
        <f>+G62+H62</f>
        <v>0</v>
      </c>
      <c r="J62" s="183"/>
      <c r="K62" s="183"/>
    </row>
    <row r="63" spans="2:11" x14ac:dyDescent="0.25">
      <c r="B63" s="62" t="s">
        <v>169</v>
      </c>
      <c r="C63" s="63" t="s">
        <v>170</v>
      </c>
      <c r="D63" s="64">
        <f t="shared" ref="D63:I63" si="17">+D61+D60+D59+D62</f>
        <v>0</v>
      </c>
      <c r="E63" s="64">
        <f t="shared" si="17"/>
        <v>0</v>
      </c>
      <c r="F63" s="64">
        <f t="shared" si="17"/>
        <v>0</v>
      </c>
      <c r="G63" s="64">
        <f t="shared" si="17"/>
        <v>0</v>
      </c>
      <c r="H63" s="64">
        <f t="shared" si="17"/>
        <v>0</v>
      </c>
      <c r="I63" s="64">
        <f t="shared" si="17"/>
        <v>0</v>
      </c>
      <c r="J63" s="184"/>
      <c r="K63" s="184"/>
    </row>
    <row r="64" spans="2:11" x14ac:dyDescent="0.25">
      <c r="B64" s="17" t="s">
        <v>171</v>
      </c>
      <c r="C64" s="17" t="s">
        <v>172</v>
      </c>
      <c r="D64" s="18">
        <f t="shared" ref="D64:I64" si="18">+D58+D63</f>
        <v>81375148</v>
      </c>
      <c r="E64" s="18">
        <f t="shared" si="18"/>
        <v>6146024</v>
      </c>
      <c r="F64" s="18">
        <f t="shared" si="18"/>
        <v>87521172</v>
      </c>
      <c r="G64" s="18">
        <f t="shared" si="18"/>
        <v>81375148</v>
      </c>
      <c r="H64" s="18">
        <f t="shared" si="18"/>
        <v>6146024</v>
      </c>
      <c r="I64" s="18">
        <f t="shared" si="18"/>
        <v>87521172</v>
      </c>
    </row>
    <row r="65" spans="2:9" x14ac:dyDescent="0.25">
      <c r="B65" s="2"/>
      <c r="C65" s="2"/>
      <c r="D65" s="3"/>
      <c r="E65" s="3"/>
      <c r="F65" s="65"/>
      <c r="G65" s="3"/>
      <c r="H65" s="3"/>
      <c r="I65" s="65"/>
    </row>
    <row r="66" spans="2:9" ht="15.75" hidden="1" customHeight="1" x14ac:dyDescent="0.25">
      <c r="B66" s="2"/>
      <c r="C66" s="2"/>
      <c r="D66" s="583" t="s">
        <v>7</v>
      </c>
      <c r="E66" s="583"/>
      <c r="F66" s="583"/>
      <c r="G66" s="583" t="s">
        <v>7</v>
      </c>
      <c r="H66" s="583"/>
      <c r="I66" s="583"/>
    </row>
    <row r="67" spans="2:9" ht="31.5" x14ac:dyDescent="0.25">
      <c r="B67" s="8" t="s">
        <v>8</v>
      </c>
      <c r="C67" s="35" t="s">
        <v>173</v>
      </c>
      <c r="D67" s="36" t="s">
        <v>9</v>
      </c>
      <c r="E67" s="36" t="s">
        <v>10</v>
      </c>
      <c r="F67" s="35" t="s">
        <v>515</v>
      </c>
      <c r="G67" s="36" t="s">
        <v>9</v>
      </c>
      <c r="H67" s="36" t="s">
        <v>10</v>
      </c>
      <c r="I67" s="35" t="s">
        <v>515</v>
      </c>
    </row>
    <row r="68" spans="2:9" hidden="1" x14ac:dyDescent="0.25">
      <c r="B68" s="44" t="s">
        <v>573</v>
      </c>
      <c r="C68" s="53" t="s">
        <v>187</v>
      </c>
      <c r="D68" s="14"/>
      <c r="E68" s="14"/>
      <c r="F68" s="14">
        <f t="shared" ref="F68:F73" si="19">+E68+D68</f>
        <v>0</v>
      </c>
      <c r="G68" s="14"/>
      <c r="H68" s="14"/>
      <c r="I68" s="14">
        <f t="shared" ref="I68:I73" si="20">+H68+G68</f>
        <v>0</v>
      </c>
    </row>
    <row r="69" spans="2:9" hidden="1" x14ac:dyDescent="0.25">
      <c r="B69" s="41" t="s">
        <v>188</v>
      </c>
      <c r="C69" s="52" t="s">
        <v>189</v>
      </c>
      <c r="D69" s="14"/>
      <c r="E69" s="14"/>
      <c r="F69" s="14">
        <f t="shared" si="19"/>
        <v>0</v>
      </c>
      <c r="G69" s="14"/>
      <c r="H69" s="14"/>
      <c r="I69" s="14">
        <f t="shared" si="20"/>
        <v>0</v>
      </c>
    </row>
    <row r="70" spans="2:9" ht="31.5" hidden="1" x14ac:dyDescent="0.25">
      <c r="B70" s="41" t="s">
        <v>574</v>
      </c>
      <c r="C70" s="52" t="s">
        <v>191</v>
      </c>
      <c r="D70" s="14"/>
      <c r="E70" s="14"/>
      <c r="F70" s="14">
        <f t="shared" si="19"/>
        <v>0</v>
      </c>
      <c r="G70" s="14"/>
      <c r="H70" s="14"/>
      <c r="I70" s="14">
        <f t="shared" si="20"/>
        <v>0</v>
      </c>
    </row>
    <row r="71" spans="2:9" ht="31.5" hidden="1" x14ac:dyDescent="0.25">
      <c r="B71" s="41" t="s">
        <v>192</v>
      </c>
      <c r="C71" s="52" t="s">
        <v>193</v>
      </c>
      <c r="D71" s="14"/>
      <c r="E71" s="14"/>
      <c r="F71" s="14">
        <f t="shared" si="19"/>
        <v>0</v>
      </c>
      <c r="G71" s="14"/>
      <c r="H71" s="14"/>
      <c r="I71" s="14">
        <f t="shared" si="20"/>
        <v>0</v>
      </c>
    </row>
    <row r="72" spans="2:9" ht="31.5" hidden="1" x14ac:dyDescent="0.25">
      <c r="B72" s="41" t="s">
        <v>194</v>
      </c>
      <c r="C72" s="52" t="s">
        <v>195</v>
      </c>
      <c r="D72" s="14"/>
      <c r="E72" s="14"/>
      <c r="F72" s="14">
        <f t="shared" si="19"/>
        <v>0</v>
      </c>
      <c r="G72" s="14"/>
      <c r="H72" s="14"/>
      <c r="I72" s="14">
        <f t="shared" si="20"/>
        <v>0</v>
      </c>
    </row>
    <row r="73" spans="2:9" x14ac:dyDescent="0.25">
      <c r="B73" s="41" t="s">
        <v>196</v>
      </c>
      <c r="C73" s="52" t="s">
        <v>197</v>
      </c>
      <c r="D73" s="13">
        <v>1963287</v>
      </c>
      <c r="E73" s="13"/>
      <c r="F73" s="14">
        <f t="shared" si="19"/>
        <v>1963287</v>
      </c>
      <c r="G73" s="13">
        <v>1963287</v>
      </c>
      <c r="H73" s="13"/>
      <c r="I73" s="14">
        <f t="shared" si="20"/>
        <v>1963287</v>
      </c>
    </row>
    <row r="74" spans="2:9" x14ac:dyDescent="0.25">
      <c r="B74" s="44" t="s">
        <v>198</v>
      </c>
      <c r="C74" s="53" t="s">
        <v>199</v>
      </c>
      <c r="D74" s="14">
        <f t="shared" ref="D74:I74" si="21">+D73+D72+D71+D70+D69+D68</f>
        <v>1963287</v>
      </c>
      <c r="E74" s="14">
        <f t="shared" si="21"/>
        <v>0</v>
      </c>
      <c r="F74" s="14">
        <f t="shared" si="21"/>
        <v>1963287</v>
      </c>
      <c r="G74" s="14">
        <f>+G73+G72+G71+G70+G69+G68</f>
        <v>1963287</v>
      </c>
      <c r="H74" s="14">
        <f t="shared" si="21"/>
        <v>0</v>
      </c>
      <c r="I74" s="14">
        <f t="shared" si="21"/>
        <v>1963287</v>
      </c>
    </row>
    <row r="75" spans="2:9" x14ac:dyDescent="0.25">
      <c r="B75" s="44" t="s">
        <v>200</v>
      </c>
      <c r="C75" s="53" t="s">
        <v>201</v>
      </c>
      <c r="D75" s="13"/>
      <c r="E75" s="13"/>
      <c r="F75" s="14">
        <f t="shared" ref="F75:F81" si="22">+E75+D75</f>
        <v>0</v>
      </c>
      <c r="G75" s="13"/>
      <c r="H75" s="13"/>
      <c r="I75" s="14">
        <f t="shared" ref="I75:I81" si="23">+H75+G75</f>
        <v>0</v>
      </c>
    </row>
    <row r="76" spans="2:9" hidden="1" x14ac:dyDescent="0.25">
      <c r="B76" s="41" t="s">
        <v>202</v>
      </c>
      <c r="C76" s="52" t="s">
        <v>203</v>
      </c>
      <c r="D76" s="13"/>
      <c r="E76" s="13"/>
      <c r="F76" s="14">
        <f t="shared" si="22"/>
        <v>0</v>
      </c>
      <c r="G76" s="13"/>
      <c r="H76" s="13"/>
      <c r="I76" s="14">
        <f t="shared" si="23"/>
        <v>0</v>
      </c>
    </row>
    <row r="77" spans="2:9" hidden="1" x14ac:dyDescent="0.25">
      <c r="B77" s="41" t="s">
        <v>204</v>
      </c>
      <c r="C77" s="52" t="s">
        <v>205</v>
      </c>
      <c r="D77" s="13"/>
      <c r="E77" s="13"/>
      <c r="F77" s="14">
        <f t="shared" si="22"/>
        <v>0</v>
      </c>
      <c r="G77" s="13"/>
      <c r="H77" s="13"/>
      <c r="I77" s="14">
        <f t="shared" si="23"/>
        <v>0</v>
      </c>
    </row>
    <row r="78" spans="2:9" hidden="1" x14ac:dyDescent="0.25">
      <c r="B78" s="41" t="s">
        <v>206</v>
      </c>
      <c r="C78" s="52" t="s">
        <v>207</v>
      </c>
      <c r="D78" s="13"/>
      <c r="E78" s="13"/>
      <c r="F78" s="14">
        <f t="shared" si="22"/>
        <v>0</v>
      </c>
      <c r="G78" s="13"/>
      <c r="H78" s="13"/>
      <c r="I78" s="14">
        <f t="shared" si="23"/>
        <v>0</v>
      </c>
    </row>
    <row r="79" spans="2:9" hidden="1" x14ac:dyDescent="0.25">
      <c r="B79" s="41" t="s">
        <v>208</v>
      </c>
      <c r="C79" s="52" t="s">
        <v>209</v>
      </c>
      <c r="D79" s="13"/>
      <c r="E79" s="13"/>
      <c r="F79" s="14">
        <f t="shared" si="22"/>
        <v>0</v>
      </c>
      <c r="G79" s="13"/>
      <c r="H79" s="13"/>
      <c r="I79" s="14">
        <f t="shared" si="23"/>
        <v>0</v>
      </c>
    </row>
    <row r="80" spans="2:9" hidden="1" x14ac:dyDescent="0.25">
      <c r="B80" s="41" t="s">
        <v>210</v>
      </c>
      <c r="C80" s="52" t="s">
        <v>211</v>
      </c>
      <c r="D80" s="13"/>
      <c r="E80" s="13"/>
      <c r="F80" s="14">
        <f t="shared" si="22"/>
        <v>0</v>
      </c>
      <c r="G80" s="13"/>
      <c r="H80" s="13"/>
      <c r="I80" s="14">
        <f t="shared" si="23"/>
        <v>0</v>
      </c>
    </row>
    <row r="81" spans="2:9" hidden="1" x14ac:dyDescent="0.25">
      <c r="B81" s="41" t="s">
        <v>212</v>
      </c>
      <c r="C81" s="52" t="s">
        <v>213</v>
      </c>
      <c r="D81" s="13"/>
      <c r="E81" s="13"/>
      <c r="F81" s="14">
        <f t="shared" si="22"/>
        <v>0</v>
      </c>
      <c r="G81" s="13"/>
      <c r="H81" s="13"/>
      <c r="I81" s="14">
        <f t="shared" si="23"/>
        <v>0</v>
      </c>
    </row>
    <row r="82" spans="2:9" x14ac:dyDescent="0.25">
      <c r="B82" s="44" t="s">
        <v>214</v>
      </c>
      <c r="C82" s="53" t="s">
        <v>215</v>
      </c>
      <c r="D82" s="14">
        <f t="shared" ref="D82:I82" si="24">SUM(D76:D81)</f>
        <v>0</v>
      </c>
      <c r="E82" s="14">
        <f t="shared" si="24"/>
        <v>0</v>
      </c>
      <c r="F82" s="14">
        <f t="shared" si="24"/>
        <v>0</v>
      </c>
      <c r="G82" s="14">
        <f>SUM(G76:G81)</f>
        <v>0</v>
      </c>
      <c r="H82" s="14">
        <f t="shared" si="24"/>
        <v>0</v>
      </c>
      <c r="I82" s="14">
        <f t="shared" si="24"/>
        <v>0</v>
      </c>
    </row>
    <row r="83" spans="2:9" x14ac:dyDescent="0.25">
      <c r="B83" s="54" t="s">
        <v>577</v>
      </c>
      <c r="C83" s="52" t="s">
        <v>217</v>
      </c>
      <c r="D83" s="13"/>
      <c r="E83" s="13"/>
      <c r="F83" s="14">
        <f t="shared" ref="F83:F93" si="25">+E83+D83</f>
        <v>0</v>
      </c>
      <c r="G83" s="13"/>
      <c r="H83" s="13"/>
      <c r="I83" s="14">
        <f t="shared" ref="I83:I93" si="26">+H83+G83</f>
        <v>0</v>
      </c>
    </row>
    <row r="84" spans="2:9" x14ac:dyDescent="0.25">
      <c r="B84" s="54" t="s">
        <v>218</v>
      </c>
      <c r="C84" s="52" t="s">
        <v>219</v>
      </c>
      <c r="D84" s="13">
        <v>11000000</v>
      </c>
      <c r="E84" s="13"/>
      <c r="F84" s="14">
        <f t="shared" si="25"/>
        <v>11000000</v>
      </c>
      <c r="G84" s="13">
        <v>11000000</v>
      </c>
      <c r="H84" s="13"/>
      <c r="I84" s="14">
        <f t="shared" si="26"/>
        <v>11000000</v>
      </c>
    </row>
    <row r="85" spans="2:9" x14ac:dyDescent="0.25">
      <c r="B85" s="54" t="s">
        <v>220</v>
      </c>
      <c r="C85" s="52" t="s">
        <v>221</v>
      </c>
      <c r="D85" s="13"/>
      <c r="E85" s="13"/>
      <c r="F85" s="14">
        <f t="shared" si="25"/>
        <v>0</v>
      </c>
      <c r="G85" s="13"/>
      <c r="H85" s="13"/>
      <c r="I85" s="14">
        <f t="shared" si="26"/>
        <v>0</v>
      </c>
    </row>
    <row r="86" spans="2:9" x14ac:dyDescent="0.25">
      <c r="B86" s="54" t="s">
        <v>222</v>
      </c>
      <c r="C86" s="52" t="s">
        <v>223</v>
      </c>
      <c r="D86" s="13"/>
      <c r="E86" s="13"/>
      <c r="F86" s="14">
        <f t="shared" si="25"/>
        <v>0</v>
      </c>
      <c r="G86" s="13"/>
      <c r="H86" s="13"/>
      <c r="I86" s="14">
        <f t="shared" si="26"/>
        <v>0</v>
      </c>
    </row>
    <row r="87" spans="2:9" x14ac:dyDescent="0.25">
      <c r="B87" s="54" t="s">
        <v>224</v>
      </c>
      <c r="C87" s="52" t="s">
        <v>225</v>
      </c>
      <c r="D87" s="13"/>
      <c r="E87" s="13"/>
      <c r="F87" s="14">
        <f t="shared" si="25"/>
        <v>0</v>
      </c>
      <c r="G87" s="13"/>
      <c r="H87" s="13"/>
      <c r="I87" s="14">
        <f t="shared" si="26"/>
        <v>0</v>
      </c>
    </row>
    <row r="88" spans="2:9" x14ac:dyDescent="0.25">
      <c r="B88" s="54" t="s">
        <v>226</v>
      </c>
      <c r="C88" s="52" t="s">
        <v>227</v>
      </c>
      <c r="D88" s="13"/>
      <c r="E88" s="13"/>
      <c r="F88" s="14">
        <f t="shared" si="25"/>
        <v>0</v>
      </c>
      <c r="G88" s="13"/>
      <c r="H88" s="13"/>
      <c r="I88" s="14">
        <f t="shared" si="26"/>
        <v>0</v>
      </c>
    </row>
    <row r="89" spans="2:9" x14ac:dyDescent="0.25">
      <c r="B89" s="54" t="s">
        <v>228</v>
      </c>
      <c r="C89" s="52" t="s">
        <v>229</v>
      </c>
      <c r="D89" s="13"/>
      <c r="E89" s="13"/>
      <c r="F89" s="14">
        <f t="shared" si="25"/>
        <v>0</v>
      </c>
      <c r="G89" s="13"/>
      <c r="H89" s="13"/>
      <c r="I89" s="14">
        <f t="shared" si="26"/>
        <v>0</v>
      </c>
    </row>
    <row r="90" spans="2:9" x14ac:dyDescent="0.25">
      <c r="B90" s="54" t="s">
        <v>230</v>
      </c>
      <c r="C90" s="52" t="s">
        <v>231</v>
      </c>
      <c r="D90" s="13"/>
      <c r="E90" s="13"/>
      <c r="F90" s="14">
        <f t="shared" si="25"/>
        <v>0</v>
      </c>
      <c r="G90" s="13"/>
      <c r="H90" s="13"/>
      <c r="I90" s="14">
        <f t="shared" si="26"/>
        <v>0</v>
      </c>
    </row>
    <row r="91" spans="2:9" x14ac:dyDescent="0.25">
      <c r="B91" s="54" t="s">
        <v>232</v>
      </c>
      <c r="C91" s="52" t="s">
        <v>233</v>
      </c>
      <c r="D91" s="13"/>
      <c r="E91" s="13"/>
      <c r="F91" s="14">
        <f t="shared" si="25"/>
        <v>0</v>
      </c>
      <c r="G91" s="13"/>
      <c r="H91" s="13"/>
      <c r="I91" s="14">
        <f t="shared" si="26"/>
        <v>0</v>
      </c>
    </row>
    <row r="92" spans="2:9" x14ac:dyDescent="0.25">
      <c r="B92" s="54" t="s">
        <v>234</v>
      </c>
      <c r="C92" s="52" t="s">
        <v>235</v>
      </c>
      <c r="D92" s="13"/>
      <c r="E92" s="13"/>
      <c r="F92" s="14">
        <f t="shared" si="25"/>
        <v>0</v>
      </c>
      <c r="G92" s="13"/>
      <c r="H92" s="13"/>
      <c r="I92" s="14">
        <f t="shared" si="26"/>
        <v>0</v>
      </c>
    </row>
    <row r="93" spans="2:9" x14ac:dyDescent="0.25">
      <c r="B93" s="54" t="s">
        <v>236</v>
      </c>
      <c r="C93" s="52" t="s">
        <v>237</v>
      </c>
      <c r="D93" s="13"/>
      <c r="E93" s="13"/>
      <c r="F93" s="14">
        <f t="shared" si="25"/>
        <v>0</v>
      </c>
      <c r="G93" s="13"/>
      <c r="H93" s="13"/>
      <c r="I93" s="14">
        <f t="shared" si="26"/>
        <v>0</v>
      </c>
    </row>
    <row r="94" spans="2:9" x14ac:dyDescent="0.25">
      <c r="B94" s="45" t="s">
        <v>238</v>
      </c>
      <c r="C94" s="53" t="s">
        <v>239</v>
      </c>
      <c r="D94" s="14">
        <f t="shared" ref="D94:I94" si="27">SUM(D83:D93)</f>
        <v>11000000</v>
      </c>
      <c r="E94" s="14">
        <f t="shared" si="27"/>
        <v>0</v>
      </c>
      <c r="F94" s="14">
        <f t="shared" si="27"/>
        <v>11000000</v>
      </c>
      <c r="G94" s="14">
        <f t="shared" si="27"/>
        <v>11000000</v>
      </c>
      <c r="H94" s="14">
        <f t="shared" si="27"/>
        <v>0</v>
      </c>
      <c r="I94" s="14">
        <f t="shared" si="27"/>
        <v>11000000</v>
      </c>
    </row>
    <row r="95" spans="2:9" x14ac:dyDescent="0.25">
      <c r="B95" s="54" t="s">
        <v>240</v>
      </c>
      <c r="C95" s="52" t="s">
        <v>241</v>
      </c>
      <c r="D95" s="13"/>
      <c r="E95" s="13"/>
      <c r="F95" s="14">
        <f>+E95+D95</f>
        <v>0</v>
      </c>
      <c r="G95" s="13"/>
      <c r="H95" s="13"/>
      <c r="I95" s="14">
        <f>+H95+G95</f>
        <v>0</v>
      </c>
    </row>
    <row r="96" spans="2:9" x14ac:dyDescent="0.25">
      <c r="B96" s="54" t="s">
        <v>242</v>
      </c>
      <c r="C96" s="52" t="s">
        <v>243</v>
      </c>
      <c r="D96" s="13"/>
      <c r="E96" s="13"/>
      <c r="F96" s="14">
        <f>+E96+D96</f>
        <v>0</v>
      </c>
      <c r="G96" s="13"/>
      <c r="H96" s="13"/>
      <c r="I96" s="14">
        <f>+H96+G96</f>
        <v>0</v>
      </c>
    </row>
    <row r="97" spans="2:9" x14ac:dyDescent="0.25">
      <c r="B97" s="54" t="s">
        <v>244</v>
      </c>
      <c r="C97" s="52" t="s">
        <v>245</v>
      </c>
      <c r="D97" s="13"/>
      <c r="E97" s="13"/>
      <c r="F97" s="14">
        <f>+E97+D97</f>
        <v>0</v>
      </c>
      <c r="G97" s="13"/>
      <c r="H97" s="13"/>
      <c r="I97" s="14">
        <f>+H97+G97</f>
        <v>0</v>
      </c>
    </row>
    <row r="98" spans="2:9" x14ac:dyDescent="0.25">
      <c r="B98" s="54" t="s">
        <v>246</v>
      </c>
      <c r="C98" s="52" t="s">
        <v>247</v>
      </c>
      <c r="D98" s="13"/>
      <c r="E98" s="13"/>
      <c r="F98" s="14">
        <f>+E98+D98</f>
        <v>0</v>
      </c>
      <c r="G98" s="13"/>
      <c r="H98" s="13"/>
      <c r="I98" s="14">
        <f>+H98+G98</f>
        <v>0</v>
      </c>
    </row>
    <row r="99" spans="2:9" x14ac:dyDescent="0.25">
      <c r="B99" s="54" t="s">
        <v>248</v>
      </c>
      <c r="C99" s="52" t="s">
        <v>249</v>
      </c>
      <c r="D99" s="13"/>
      <c r="E99" s="13"/>
      <c r="F99" s="14">
        <f>+E99+D99</f>
        <v>0</v>
      </c>
      <c r="G99" s="13"/>
      <c r="H99" s="13"/>
      <c r="I99" s="14">
        <f>+H99+G99</f>
        <v>0</v>
      </c>
    </row>
    <row r="100" spans="2:9" x14ac:dyDescent="0.25">
      <c r="B100" s="44" t="s">
        <v>250</v>
      </c>
      <c r="C100" s="53" t="s">
        <v>251</v>
      </c>
      <c r="D100" s="14">
        <f t="shared" ref="D100:I100" si="28">SUM(D95:D99)</f>
        <v>0</v>
      </c>
      <c r="E100" s="14">
        <f t="shared" si="28"/>
        <v>0</v>
      </c>
      <c r="F100" s="14">
        <f t="shared" si="28"/>
        <v>0</v>
      </c>
      <c r="G100" s="14">
        <f t="shared" si="28"/>
        <v>0</v>
      </c>
      <c r="H100" s="14">
        <f t="shared" si="28"/>
        <v>0</v>
      </c>
      <c r="I100" s="14">
        <f t="shared" si="28"/>
        <v>0</v>
      </c>
    </row>
    <row r="101" spans="2:9" x14ac:dyDescent="0.25">
      <c r="B101" s="44" t="s">
        <v>252</v>
      </c>
      <c r="C101" s="53" t="s">
        <v>253</v>
      </c>
      <c r="D101" s="13"/>
      <c r="E101" s="13"/>
      <c r="F101" s="14">
        <f>+E101+D101</f>
        <v>0</v>
      </c>
      <c r="G101" s="13"/>
      <c r="H101" s="13"/>
      <c r="I101" s="14">
        <f>+H101+G101</f>
        <v>0</v>
      </c>
    </row>
    <row r="102" spans="2:9" hidden="1" x14ac:dyDescent="0.25">
      <c r="B102" s="54" t="s">
        <v>254</v>
      </c>
      <c r="C102" s="52" t="s">
        <v>255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</row>
    <row r="103" spans="2:9" ht="31.5" hidden="1" x14ac:dyDescent="0.25">
      <c r="B103" s="41" t="s">
        <v>256</v>
      </c>
      <c r="C103" s="52" t="s">
        <v>257</v>
      </c>
      <c r="D103" s="13"/>
      <c r="E103" s="13"/>
      <c r="F103" s="14"/>
      <c r="G103" s="13"/>
      <c r="H103" s="13"/>
      <c r="I103" s="14"/>
    </row>
    <row r="104" spans="2:9" ht="31.5" hidden="1" x14ac:dyDescent="0.25">
      <c r="B104" s="54" t="s">
        <v>258</v>
      </c>
      <c r="C104" s="52" t="s">
        <v>259</v>
      </c>
      <c r="D104" s="13"/>
      <c r="E104" s="13"/>
      <c r="F104" s="14"/>
      <c r="G104" s="13"/>
      <c r="H104" s="13"/>
      <c r="I104" s="14"/>
    </row>
    <row r="105" spans="2:9" hidden="1" x14ac:dyDescent="0.25">
      <c r="B105" s="54" t="s">
        <v>260</v>
      </c>
      <c r="C105" s="52" t="s">
        <v>261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</row>
    <row r="106" spans="2:9" x14ac:dyDescent="0.25">
      <c r="B106" s="54" t="s">
        <v>262</v>
      </c>
      <c r="C106" s="52" t="s">
        <v>263</v>
      </c>
      <c r="D106" s="13"/>
      <c r="E106" s="13"/>
      <c r="F106" s="14">
        <f>+E106+D106</f>
        <v>0</v>
      </c>
      <c r="G106" s="13"/>
      <c r="H106" s="13"/>
      <c r="I106" s="14">
        <f>+H106+G106</f>
        <v>0</v>
      </c>
    </row>
    <row r="107" spans="2:9" x14ac:dyDescent="0.25">
      <c r="B107" s="44" t="s">
        <v>264</v>
      </c>
      <c r="C107" s="53" t="s">
        <v>265</v>
      </c>
      <c r="D107" s="14">
        <f t="shared" ref="D107:I107" si="29">SUM(D102:D106)</f>
        <v>0</v>
      </c>
      <c r="E107" s="14">
        <f t="shared" si="29"/>
        <v>0</v>
      </c>
      <c r="F107" s="14">
        <f t="shared" si="29"/>
        <v>0</v>
      </c>
      <c r="G107" s="14">
        <f t="shared" si="29"/>
        <v>0</v>
      </c>
      <c r="H107" s="14">
        <f t="shared" si="29"/>
        <v>0</v>
      </c>
      <c r="I107" s="14">
        <f t="shared" si="29"/>
        <v>0</v>
      </c>
    </row>
    <row r="108" spans="2:9" x14ac:dyDescent="0.25">
      <c r="B108" s="66" t="s">
        <v>266</v>
      </c>
      <c r="C108" s="55" t="s">
        <v>267</v>
      </c>
      <c r="D108" s="57">
        <f t="shared" ref="D108:I108" si="30">+D107+D101+D100+D94+D82+D75+D74</f>
        <v>12963287</v>
      </c>
      <c r="E108" s="57">
        <f t="shared" si="30"/>
        <v>0</v>
      </c>
      <c r="F108" s="57">
        <f t="shared" si="30"/>
        <v>12963287</v>
      </c>
      <c r="G108" s="57">
        <f t="shared" si="30"/>
        <v>12963287</v>
      </c>
      <c r="H108" s="57">
        <f t="shared" si="30"/>
        <v>0</v>
      </c>
      <c r="I108" s="57">
        <f t="shared" si="30"/>
        <v>12963287</v>
      </c>
    </row>
    <row r="109" spans="2:9" x14ac:dyDescent="0.25">
      <c r="B109" s="67" t="s">
        <v>268</v>
      </c>
      <c r="C109" s="68"/>
      <c r="D109" s="69">
        <f>+D101+D94+D82+D74-D33</f>
        <v>-65871861</v>
      </c>
      <c r="E109" s="69">
        <f>+E101+E94+E82+E74-E33</f>
        <v>-4480966</v>
      </c>
      <c r="F109" s="69">
        <f t="shared" ref="F109:F116" si="31">+E109+D109</f>
        <v>-70352827</v>
      </c>
      <c r="G109" s="69">
        <f>+G101+G94+G82+G74-G33</f>
        <v>-65871861</v>
      </c>
      <c r="H109" s="69">
        <f>+H101+H94+H82+H74-H33</f>
        <v>-4480966</v>
      </c>
      <c r="I109" s="69">
        <f t="shared" ref="I109:I116" si="32">+H109+G109</f>
        <v>-70352827</v>
      </c>
    </row>
    <row r="110" spans="2:9" x14ac:dyDescent="0.25">
      <c r="B110" s="67" t="s">
        <v>269</v>
      </c>
      <c r="C110" s="68"/>
      <c r="D110" s="69">
        <f>+D107+D100+D75-D57</f>
        <v>-2540000</v>
      </c>
      <c r="E110" s="69">
        <f>+E107+E100+E75-E57</f>
        <v>-1665058</v>
      </c>
      <c r="F110" s="69">
        <f t="shared" si="31"/>
        <v>-4205058</v>
      </c>
      <c r="G110" s="69">
        <f>+G107+G100+G75-G57</f>
        <v>-2540000</v>
      </c>
      <c r="H110" s="69">
        <f>+H107+H100+H75-H57</f>
        <v>-1665058</v>
      </c>
      <c r="I110" s="69">
        <f t="shared" si="32"/>
        <v>-4205058</v>
      </c>
    </row>
    <row r="111" spans="2:9" hidden="1" x14ac:dyDescent="0.25">
      <c r="B111" s="45" t="s">
        <v>581</v>
      </c>
      <c r="C111" s="44" t="s">
        <v>277</v>
      </c>
      <c r="D111" s="13"/>
      <c r="E111" s="13"/>
      <c r="F111" s="14">
        <f t="shared" si="31"/>
        <v>0</v>
      </c>
      <c r="G111" s="13"/>
      <c r="H111" s="13"/>
      <c r="I111" s="14">
        <f t="shared" si="32"/>
        <v>0</v>
      </c>
    </row>
    <row r="112" spans="2:9" hidden="1" x14ac:dyDescent="0.25">
      <c r="B112" s="61" t="s">
        <v>582</v>
      </c>
      <c r="C112" s="44" t="s">
        <v>287</v>
      </c>
      <c r="D112" s="13"/>
      <c r="E112" s="13"/>
      <c r="F112" s="14">
        <f t="shared" si="31"/>
        <v>0</v>
      </c>
      <c r="G112" s="13"/>
      <c r="H112" s="13"/>
      <c r="I112" s="14">
        <f t="shared" si="32"/>
        <v>0</v>
      </c>
    </row>
    <row r="113" spans="1:9" x14ac:dyDescent="0.25">
      <c r="B113" s="41" t="s">
        <v>288</v>
      </c>
      <c r="C113" s="41" t="s">
        <v>289</v>
      </c>
      <c r="D113" s="13">
        <v>1490792</v>
      </c>
      <c r="E113" s="13">
        <f>4999672+1146352</f>
        <v>6146024</v>
      </c>
      <c r="F113" s="14">
        <f t="shared" si="31"/>
        <v>7636816</v>
      </c>
      <c r="G113" s="13">
        <v>1490792</v>
      </c>
      <c r="H113" s="13">
        <f>4999672+1146352</f>
        <v>6146024</v>
      </c>
      <c r="I113" s="14">
        <f t="shared" si="32"/>
        <v>7636816</v>
      </c>
    </row>
    <row r="114" spans="1:9" ht="31.5" x14ac:dyDescent="0.25">
      <c r="B114" s="41" t="s">
        <v>290</v>
      </c>
      <c r="C114" s="41" t="s">
        <v>289</v>
      </c>
      <c r="D114" s="13"/>
      <c r="E114" s="13"/>
      <c r="F114" s="14">
        <f t="shared" si="31"/>
        <v>0</v>
      </c>
      <c r="G114" s="13"/>
      <c r="H114" s="13"/>
      <c r="I114" s="14">
        <f t="shared" si="32"/>
        <v>0</v>
      </c>
    </row>
    <row r="115" spans="1:9" hidden="1" x14ac:dyDescent="0.25">
      <c r="B115" s="41" t="s">
        <v>291</v>
      </c>
      <c r="C115" s="41" t="s">
        <v>292</v>
      </c>
      <c r="D115" s="13"/>
      <c r="E115" s="13"/>
      <c r="F115" s="14">
        <f t="shared" si="31"/>
        <v>0</v>
      </c>
      <c r="G115" s="13"/>
      <c r="H115" s="13"/>
      <c r="I115" s="14">
        <f t="shared" si="32"/>
        <v>0</v>
      </c>
    </row>
    <row r="116" spans="1:9" ht="31.5" hidden="1" x14ac:dyDescent="0.25">
      <c r="B116" s="41" t="s">
        <v>293</v>
      </c>
      <c r="C116" s="41" t="s">
        <v>292</v>
      </c>
      <c r="D116" s="13"/>
      <c r="E116" s="13"/>
      <c r="F116" s="14">
        <f t="shared" si="31"/>
        <v>0</v>
      </c>
      <c r="G116" s="13"/>
      <c r="H116" s="13"/>
      <c r="I116" s="14">
        <f t="shared" si="32"/>
        <v>0</v>
      </c>
    </row>
    <row r="117" spans="1:9" x14ac:dyDescent="0.25">
      <c r="A117" s="2" t="s">
        <v>325</v>
      </c>
      <c r="B117" s="44" t="s">
        <v>294</v>
      </c>
      <c r="C117" s="44" t="s">
        <v>295</v>
      </c>
      <c r="D117" s="14">
        <f t="shared" ref="D117:I117" si="33">SUM(D113:D116)</f>
        <v>1490792</v>
      </c>
      <c r="E117" s="14">
        <f t="shared" si="33"/>
        <v>6146024</v>
      </c>
      <c r="F117" s="14">
        <f t="shared" si="33"/>
        <v>7636816</v>
      </c>
      <c r="G117" s="14">
        <f>SUM(G113:G116)</f>
        <v>1490792</v>
      </c>
      <c r="H117" s="14">
        <f>SUM(H113:H116)</f>
        <v>6146024</v>
      </c>
      <c r="I117" s="14">
        <f t="shared" si="33"/>
        <v>7636816</v>
      </c>
    </row>
    <row r="118" spans="1:9" hidden="1" x14ac:dyDescent="0.25">
      <c r="A118" s="2" t="s">
        <v>592</v>
      </c>
      <c r="B118" s="59" t="s">
        <v>296</v>
      </c>
      <c r="C118" s="41" t="s">
        <v>297</v>
      </c>
      <c r="D118" s="13"/>
      <c r="E118" s="13"/>
      <c r="F118" s="14">
        <f t="shared" ref="F118:F125" si="34">+E118+D118</f>
        <v>0</v>
      </c>
      <c r="G118" s="13"/>
      <c r="H118" s="13"/>
      <c r="I118" s="14">
        <f t="shared" ref="I118:I125" si="35">+H118+G118</f>
        <v>0</v>
      </c>
    </row>
    <row r="119" spans="1:9" hidden="1" x14ac:dyDescent="0.25">
      <c r="B119" s="59" t="s">
        <v>298</v>
      </c>
      <c r="C119" s="41" t="s">
        <v>299</v>
      </c>
      <c r="D119" s="13"/>
      <c r="E119" s="13"/>
      <c r="F119" s="14">
        <f t="shared" si="34"/>
        <v>0</v>
      </c>
      <c r="G119" s="13"/>
      <c r="H119" s="13"/>
      <c r="I119" s="14">
        <f t="shared" si="35"/>
        <v>0</v>
      </c>
    </row>
    <row r="120" spans="1:9" x14ac:dyDescent="0.25">
      <c r="A120" s="19" t="s">
        <v>601</v>
      </c>
      <c r="B120" s="59" t="s">
        <v>300</v>
      </c>
      <c r="C120" s="41" t="s">
        <v>301</v>
      </c>
      <c r="D120" s="13">
        <v>66921069</v>
      </c>
      <c r="E120" s="13"/>
      <c r="F120" s="14">
        <f t="shared" si="34"/>
        <v>66921069</v>
      </c>
      <c r="G120" s="13">
        <v>66921069</v>
      </c>
      <c r="H120" s="13"/>
      <c r="I120" s="14">
        <f t="shared" si="35"/>
        <v>66921069</v>
      </c>
    </row>
    <row r="121" spans="1:9" s="185" customFormat="1" x14ac:dyDescent="0.25">
      <c r="B121" s="186" t="s">
        <v>594</v>
      </c>
      <c r="C121" s="101"/>
      <c r="D121" s="80">
        <f>8842344+2173868</f>
        <v>11016212</v>
      </c>
      <c r="E121" s="80"/>
      <c r="F121" s="93">
        <f t="shared" si="34"/>
        <v>11016212</v>
      </c>
      <c r="G121" s="80">
        <f>8842344+2173868</f>
        <v>11016212</v>
      </c>
      <c r="H121" s="80"/>
      <c r="I121" s="93">
        <f t="shared" si="35"/>
        <v>11016212</v>
      </c>
    </row>
    <row r="122" spans="1:9" s="185" customFormat="1" x14ac:dyDescent="0.25">
      <c r="B122" s="187" t="s">
        <v>586</v>
      </c>
      <c r="C122" s="101"/>
      <c r="D122" s="80">
        <f>+D120-D121</f>
        <v>55904857</v>
      </c>
      <c r="E122" s="80">
        <f>+E120-E121</f>
        <v>0</v>
      </c>
      <c r="F122" s="93">
        <f t="shared" si="34"/>
        <v>55904857</v>
      </c>
      <c r="G122" s="80">
        <f>+G120-G121</f>
        <v>55904857</v>
      </c>
      <c r="H122" s="80">
        <f>+H120-H121</f>
        <v>0</v>
      </c>
      <c r="I122" s="93">
        <f t="shared" si="35"/>
        <v>55904857</v>
      </c>
    </row>
    <row r="123" spans="1:9" hidden="1" x14ac:dyDescent="0.25">
      <c r="B123" s="59" t="s">
        <v>302</v>
      </c>
      <c r="C123" s="41" t="s">
        <v>303</v>
      </c>
      <c r="D123" s="13"/>
      <c r="E123" s="13"/>
      <c r="F123" s="14">
        <f t="shared" si="34"/>
        <v>0</v>
      </c>
      <c r="G123" s="13"/>
      <c r="H123" s="13"/>
      <c r="I123" s="14">
        <f t="shared" si="35"/>
        <v>0</v>
      </c>
    </row>
    <row r="124" spans="1:9" hidden="1" x14ac:dyDescent="0.25">
      <c r="B124" s="54" t="s">
        <v>304</v>
      </c>
      <c r="C124" s="41" t="s">
        <v>305</v>
      </c>
      <c r="D124" s="13"/>
      <c r="E124" s="13"/>
      <c r="F124" s="14">
        <f t="shared" si="34"/>
        <v>0</v>
      </c>
      <c r="G124" s="13"/>
      <c r="H124" s="13"/>
      <c r="I124" s="14">
        <f t="shared" si="35"/>
        <v>0</v>
      </c>
    </row>
    <row r="125" spans="1:9" hidden="1" x14ac:dyDescent="0.25">
      <c r="B125" s="54" t="s">
        <v>306</v>
      </c>
      <c r="C125" s="41" t="s">
        <v>307</v>
      </c>
      <c r="D125" s="13"/>
      <c r="E125" s="13"/>
      <c r="F125" s="14">
        <f t="shared" si="34"/>
        <v>0</v>
      </c>
      <c r="G125" s="13"/>
      <c r="H125" s="13"/>
      <c r="I125" s="14">
        <f t="shared" si="35"/>
        <v>0</v>
      </c>
    </row>
    <row r="126" spans="1:9" x14ac:dyDescent="0.25">
      <c r="B126" s="45" t="s">
        <v>308</v>
      </c>
      <c r="C126" s="44" t="s">
        <v>309</v>
      </c>
      <c r="D126" s="14">
        <f>SUM(D118:D125)+D117+D112+D111-D121-D122</f>
        <v>68411861</v>
      </c>
      <c r="E126" s="14">
        <f>SUM(E118:E125)+E117+E112+E111-E121-E122</f>
        <v>6146024</v>
      </c>
      <c r="F126" s="14">
        <f>SUM(F118:F124)+F117+F112+F111-F121-F122</f>
        <v>74557885</v>
      </c>
      <c r="G126" s="14">
        <f>SUM(G118:G125)+G117+G112+G111-G121-G122</f>
        <v>68411861</v>
      </c>
      <c r="H126" s="14">
        <f>SUM(H118:H125)+H117+H112+H111-H121-H122</f>
        <v>6146024</v>
      </c>
      <c r="I126" s="14">
        <f>SUM(I118:I124)+I117+I112+I111-I121-I122</f>
        <v>74557885</v>
      </c>
    </row>
    <row r="127" spans="1:9" hidden="1" x14ac:dyDescent="0.25">
      <c r="B127" s="59" t="s">
        <v>310</v>
      </c>
      <c r="C127" s="41" t="s">
        <v>311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4" t="s">
        <v>312</v>
      </c>
      <c r="C128" s="41" t="s">
        <v>313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4" t="s">
        <v>314</v>
      </c>
      <c r="C129" s="41" t="s">
        <v>315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2" t="s">
        <v>316</v>
      </c>
      <c r="C130" s="63" t="s">
        <v>317</v>
      </c>
      <c r="D130" s="57">
        <f>+D128+D127+D126+D129</f>
        <v>68411861</v>
      </c>
      <c r="E130" s="57">
        <f>+E128+E127+E126+E129</f>
        <v>6146024</v>
      </c>
      <c r="F130" s="57">
        <f>+F129+F127+F126</f>
        <v>74557885</v>
      </c>
      <c r="G130" s="57">
        <f>+G128+G127+G126+G129</f>
        <v>68411861</v>
      </c>
      <c r="H130" s="57">
        <f>+H128+H127+H126+H129</f>
        <v>6146024</v>
      </c>
      <c r="I130" s="57">
        <f>+I129+I127+I126</f>
        <v>74557885</v>
      </c>
    </row>
    <row r="131" spans="2:9" x14ac:dyDescent="0.25">
      <c r="B131" s="17" t="s">
        <v>318</v>
      </c>
      <c r="C131" s="17" t="s">
        <v>319</v>
      </c>
      <c r="D131" s="18">
        <f t="shared" ref="D131:I131" si="36">+D108+D130</f>
        <v>81375148</v>
      </c>
      <c r="E131" s="18">
        <f t="shared" si="36"/>
        <v>6146024</v>
      </c>
      <c r="F131" s="18">
        <f t="shared" si="36"/>
        <v>87521172</v>
      </c>
      <c r="G131" s="18">
        <f t="shared" si="36"/>
        <v>81375148</v>
      </c>
      <c r="H131" s="18">
        <f t="shared" si="36"/>
        <v>6146024</v>
      </c>
      <c r="I131" s="18">
        <f t="shared" si="36"/>
        <v>87521172</v>
      </c>
    </row>
    <row r="132" spans="2:9" x14ac:dyDescent="0.25">
      <c r="B132" s="2"/>
      <c r="C132" s="2"/>
      <c r="D132" s="3"/>
      <c r="E132" s="3"/>
      <c r="F132" s="65"/>
      <c r="G132" s="3"/>
      <c r="H132" s="3"/>
      <c r="I132" s="65"/>
    </row>
    <row r="133" spans="2:9" x14ac:dyDescent="0.25">
      <c r="B133" s="15" t="s">
        <v>320</v>
      </c>
      <c r="C133" s="15"/>
      <c r="D133" s="14">
        <f t="shared" ref="D133:I133" si="37">+D108-D58</f>
        <v>-68411861</v>
      </c>
      <c r="E133" s="14">
        <f t="shared" si="37"/>
        <v>-6146024</v>
      </c>
      <c r="F133" s="14">
        <f t="shared" si="37"/>
        <v>-74557885</v>
      </c>
      <c r="G133" s="14">
        <f t="shared" si="37"/>
        <v>-68411861</v>
      </c>
      <c r="H133" s="14">
        <f t="shared" si="37"/>
        <v>-6146024</v>
      </c>
      <c r="I133" s="14">
        <f t="shared" si="37"/>
        <v>-74557885</v>
      </c>
    </row>
    <row r="134" spans="2:9" x14ac:dyDescent="0.25">
      <c r="B134" s="15" t="s">
        <v>321</v>
      </c>
      <c r="C134" s="15"/>
      <c r="D134" s="14">
        <f t="shared" ref="D134:I134" si="38">+D130-D63</f>
        <v>68411861</v>
      </c>
      <c r="E134" s="14">
        <f t="shared" si="38"/>
        <v>6146024</v>
      </c>
      <c r="F134" s="14">
        <f t="shared" si="38"/>
        <v>74557885</v>
      </c>
      <c r="G134" s="14">
        <f t="shared" si="38"/>
        <v>68411861</v>
      </c>
      <c r="H134" s="14">
        <f t="shared" si="38"/>
        <v>6146024</v>
      </c>
      <c r="I134" s="14">
        <f t="shared" si="38"/>
        <v>74557885</v>
      </c>
    </row>
    <row r="135" spans="2:9" x14ac:dyDescent="0.25">
      <c r="B135" s="2"/>
      <c r="C135" s="2"/>
      <c r="D135" s="3"/>
      <c r="E135" s="3"/>
      <c r="F135" s="65"/>
      <c r="G135" s="3"/>
      <c r="H135" s="3"/>
      <c r="I135" s="65"/>
    </row>
    <row r="136" spans="2:9" x14ac:dyDescent="0.25">
      <c r="B136" s="70" t="s">
        <v>324</v>
      </c>
      <c r="C136" s="2"/>
      <c r="D136" s="3">
        <f t="shared" ref="D136:I136" si="39">+D131-D64</f>
        <v>0</v>
      </c>
      <c r="E136" s="3">
        <f t="shared" si="39"/>
        <v>0</v>
      </c>
      <c r="F136" s="3">
        <f t="shared" si="39"/>
        <v>0</v>
      </c>
      <c r="G136" s="3">
        <f t="shared" si="39"/>
        <v>0</v>
      </c>
      <c r="H136" s="3">
        <f t="shared" si="39"/>
        <v>0</v>
      </c>
      <c r="I136" s="3">
        <f t="shared" si="39"/>
        <v>0</v>
      </c>
    </row>
    <row r="137" spans="2:9" x14ac:dyDescent="0.25">
      <c r="B137" s="2"/>
      <c r="C137" s="2"/>
      <c r="D137" s="3"/>
      <c r="E137" s="3"/>
      <c r="F137" s="65"/>
      <c r="G137" s="3"/>
      <c r="H137" s="3"/>
      <c r="I137" s="65"/>
    </row>
    <row r="138" spans="2:9" x14ac:dyDescent="0.25">
      <c r="B138" s="2"/>
      <c r="C138" s="2"/>
      <c r="D138" s="3"/>
      <c r="E138" s="3"/>
      <c r="F138" s="65"/>
      <c r="G138" s="3"/>
      <c r="H138" s="3"/>
      <c r="I138" s="65"/>
    </row>
    <row r="139" spans="2:9" x14ac:dyDescent="0.25">
      <c r="B139" s="2"/>
      <c r="C139" s="2"/>
      <c r="D139" s="3"/>
      <c r="E139" s="3"/>
      <c r="F139" s="65"/>
      <c r="G139" s="3"/>
      <c r="H139" s="3"/>
      <c r="I139" s="65"/>
    </row>
    <row r="140" spans="2:9" x14ac:dyDescent="0.25">
      <c r="B140" s="2"/>
      <c r="C140" s="2"/>
      <c r="D140" s="3"/>
      <c r="E140" s="3"/>
      <c r="F140" s="65"/>
      <c r="G140" s="3"/>
      <c r="H140" s="3"/>
      <c r="I140" s="65"/>
    </row>
    <row r="141" spans="2:9" x14ac:dyDescent="0.25">
      <c r="B141" s="2"/>
      <c r="C141" s="2"/>
      <c r="D141" s="3"/>
      <c r="E141" s="3"/>
      <c r="F141" s="65"/>
      <c r="G141" s="3"/>
      <c r="H141" s="3"/>
      <c r="I141" s="65"/>
    </row>
    <row r="142" spans="2:9" x14ac:dyDescent="0.25">
      <c r="B142" s="2"/>
      <c r="C142" s="2"/>
      <c r="D142" s="3"/>
      <c r="E142" s="3"/>
      <c r="F142" s="65"/>
      <c r="G142" s="3"/>
      <c r="H142" s="3"/>
      <c r="I142" s="65"/>
    </row>
    <row r="143" spans="2:9" x14ac:dyDescent="0.25">
      <c r="B143" s="2"/>
      <c r="C143" s="2"/>
      <c r="D143" s="3"/>
      <c r="E143" s="3"/>
      <c r="F143" s="65"/>
      <c r="G143" s="3"/>
      <c r="H143" s="3"/>
      <c r="I143" s="65"/>
    </row>
    <row r="144" spans="2:9" x14ac:dyDescent="0.25">
      <c r="B144" s="2"/>
      <c r="C144" s="2"/>
      <c r="D144" s="3"/>
      <c r="E144" s="3"/>
      <c r="F144" s="65"/>
      <c r="G144" s="3"/>
      <c r="H144" s="3"/>
      <c r="I144" s="65"/>
    </row>
    <row r="145" spans="2:9" x14ac:dyDescent="0.25">
      <c r="B145" s="2"/>
      <c r="C145" s="2"/>
      <c r="D145" s="3"/>
      <c r="E145" s="3"/>
      <c r="F145" s="65"/>
      <c r="G145" s="3"/>
      <c r="H145" s="3"/>
      <c r="I145" s="65"/>
    </row>
    <row r="146" spans="2:9" x14ac:dyDescent="0.25">
      <c r="B146" s="2"/>
      <c r="C146" s="2"/>
      <c r="D146" s="3"/>
      <c r="E146" s="3"/>
      <c r="F146" s="65"/>
      <c r="G146" s="3"/>
      <c r="H146" s="3"/>
      <c r="I146" s="65"/>
    </row>
    <row r="147" spans="2:9" x14ac:dyDescent="0.25">
      <c r="B147" s="2"/>
      <c r="C147" s="2"/>
      <c r="D147" s="3"/>
      <c r="E147" s="3"/>
      <c r="F147" s="65"/>
      <c r="G147" s="3"/>
      <c r="H147" s="3"/>
      <c r="I147" s="65"/>
    </row>
    <row r="148" spans="2:9" x14ac:dyDescent="0.25">
      <c r="B148" s="2"/>
      <c r="C148" s="2"/>
      <c r="D148" s="3"/>
      <c r="E148" s="3"/>
      <c r="F148" s="65"/>
      <c r="G148" s="3"/>
      <c r="H148" s="3"/>
      <c r="I148" s="65"/>
    </row>
    <row r="149" spans="2:9" x14ac:dyDescent="0.25">
      <c r="B149" s="2"/>
      <c r="C149" s="2"/>
      <c r="D149" s="3"/>
      <c r="E149" s="3"/>
      <c r="F149" s="65"/>
      <c r="G149" s="3"/>
      <c r="H149" s="3"/>
      <c r="I149" s="65"/>
    </row>
    <row r="150" spans="2:9" x14ac:dyDescent="0.25">
      <c r="B150" s="2"/>
      <c r="C150" s="2"/>
      <c r="D150" s="3"/>
      <c r="E150" s="3"/>
      <c r="F150" s="65"/>
      <c r="G150" s="3"/>
      <c r="H150" s="3"/>
      <c r="I150" s="65"/>
    </row>
    <row r="151" spans="2:9" x14ac:dyDescent="0.25">
      <c r="B151" s="2"/>
      <c r="C151" s="2"/>
      <c r="D151" s="3"/>
      <c r="E151" s="3"/>
      <c r="F151" s="65"/>
      <c r="G151" s="3"/>
      <c r="H151" s="3"/>
      <c r="I151" s="65"/>
    </row>
    <row r="152" spans="2:9" x14ac:dyDescent="0.25">
      <c r="B152" s="2"/>
      <c r="C152" s="2"/>
      <c r="D152" s="3"/>
      <c r="E152" s="3"/>
      <c r="F152" s="65"/>
      <c r="G152" s="3"/>
      <c r="H152" s="3"/>
      <c r="I152" s="65"/>
    </row>
    <row r="153" spans="2:9" x14ac:dyDescent="0.25">
      <c r="B153" s="2"/>
      <c r="C153" s="2"/>
      <c r="D153" s="3"/>
      <c r="E153" s="3"/>
      <c r="F153" s="65"/>
      <c r="G153" s="3"/>
      <c r="H153" s="3"/>
      <c r="I153" s="65"/>
    </row>
    <row r="154" spans="2:9" x14ac:dyDescent="0.25">
      <c r="B154" s="2"/>
      <c r="C154" s="2"/>
      <c r="D154" s="3"/>
      <c r="E154" s="3"/>
      <c r="F154" s="65"/>
      <c r="G154" s="3"/>
      <c r="H154" s="3"/>
      <c r="I154" s="65"/>
    </row>
    <row r="155" spans="2:9" x14ac:dyDescent="0.25">
      <c r="B155" s="2"/>
      <c r="C155" s="2"/>
      <c r="D155" s="3"/>
      <c r="E155" s="3"/>
      <c r="F155" s="65"/>
      <c r="G155" s="3"/>
      <c r="H155" s="3"/>
      <c r="I155" s="65"/>
    </row>
    <row r="156" spans="2:9" x14ac:dyDescent="0.25">
      <c r="B156" s="2"/>
      <c r="C156" s="2"/>
      <c r="D156" s="3"/>
      <c r="E156" s="3"/>
      <c r="F156" s="65"/>
      <c r="G156" s="3"/>
      <c r="H156" s="3"/>
      <c r="I156" s="65"/>
    </row>
    <row r="157" spans="2:9" x14ac:dyDescent="0.25">
      <c r="B157" s="2"/>
      <c r="C157" s="2"/>
      <c r="D157" s="3"/>
      <c r="E157" s="3"/>
      <c r="F157" s="65"/>
      <c r="G157" s="3"/>
      <c r="H157" s="3"/>
      <c r="I157" s="65"/>
    </row>
    <row r="158" spans="2:9" x14ac:dyDescent="0.25">
      <c r="B158" s="2"/>
      <c r="C158" s="2"/>
      <c r="D158" s="3"/>
      <c r="E158" s="3"/>
      <c r="F158" s="65"/>
      <c r="G158" s="3"/>
      <c r="H158" s="3"/>
      <c r="I158" s="65"/>
    </row>
    <row r="159" spans="2:9" x14ac:dyDescent="0.25">
      <c r="B159" s="2"/>
      <c r="C159" s="2"/>
      <c r="D159" s="3"/>
      <c r="E159" s="3"/>
      <c r="F159" s="65"/>
      <c r="G159" s="3"/>
      <c r="H159" s="3"/>
      <c r="I159" s="65"/>
    </row>
    <row r="160" spans="2:9" x14ac:dyDescent="0.25">
      <c r="B160" s="2"/>
      <c r="C160" s="2"/>
      <c r="D160" s="3"/>
      <c r="E160" s="3"/>
      <c r="F160" s="65"/>
      <c r="G160" s="3"/>
      <c r="H160" s="3"/>
      <c r="I160" s="65"/>
    </row>
    <row r="161" spans="2:9" x14ac:dyDescent="0.25">
      <c r="B161" s="2"/>
      <c r="C161" s="2"/>
      <c r="D161" s="3"/>
      <c r="E161" s="3"/>
      <c r="F161" s="65"/>
      <c r="G161" s="3"/>
      <c r="H161" s="3"/>
      <c r="I161" s="65"/>
    </row>
    <row r="162" spans="2:9" x14ac:dyDescent="0.25">
      <c r="B162" s="2"/>
      <c r="C162" s="2"/>
      <c r="D162" s="3"/>
      <c r="E162" s="3"/>
      <c r="F162" s="65"/>
      <c r="G162" s="3"/>
      <c r="H162" s="3"/>
      <c r="I162" s="65"/>
    </row>
    <row r="163" spans="2:9" x14ac:dyDescent="0.25">
      <c r="B163" s="2"/>
      <c r="C163" s="2"/>
      <c r="D163" s="3"/>
      <c r="E163" s="3"/>
      <c r="F163" s="65"/>
      <c r="G163" s="3"/>
      <c r="H163" s="3"/>
      <c r="I163" s="65"/>
    </row>
    <row r="164" spans="2:9" x14ac:dyDescent="0.25">
      <c r="B164" s="2"/>
      <c r="C164" s="2"/>
      <c r="D164" s="3"/>
      <c r="E164" s="3"/>
      <c r="F164" s="65"/>
      <c r="G164" s="3"/>
      <c r="H164" s="3"/>
      <c r="I164" s="65"/>
    </row>
    <row r="165" spans="2:9" x14ac:dyDescent="0.25">
      <c r="B165" s="2"/>
      <c r="C165" s="2"/>
      <c r="D165" s="3"/>
      <c r="E165" s="3"/>
      <c r="F165" s="65"/>
      <c r="G165" s="3"/>
      <c r="H165" s="3"/>
      <c r="I165" s="65"/>
    </row>
    <row r="166" spans="2:9" x14ac:dyDescent="0.25">
      <c r="B166" s="2"/>
      <c r="C166" s="2"/>
      <c r="D166" s="3"/>
      <c r="E166" s="3"/>
      <c r="F166" s="65"/>
      <c r="G166" s="3"/>
      <c r="H166" s="3"/>
      <c r="I166" s="65"/>
    </row>
    <row r="167" spans="2:9" x14ac:dyDescent="0.25">
      <c r="B167" s="2"/>
      <c r="C167" s="2"/>
      <c r="D167" s="3"/>
      <c r="E167" s="3"/>
      <c r="F167" s="65"/>
      <c r="G167" s="3"/>
      <c r="H167" s="3"/>
      <c r="I167" s="65"/>
    </row>
    <row r="168" spans="2:9" x14ac:dyDescent="0.25">
      <c r="B168" s="2"/>
      <c r="C168" s="2"/>
      <c r="D168" s="3"/>
      <c r="E168" s="3"/>
      <c r="F168" s="65"/>
      <c r="G168" s="3"/>
      <c r="H168" s="3"/>
      <c r="I168" s="65"/>
    </row>
    <row r="169" spans="2:9" x14ac:dyDescent="0.25">
      <c r="B169" s="2"/>
      <c r="C169" s="2"/>
      <c r="D169" s="3"/>
      <c r="E169" s="3"/>
      <c r="F169" s="65"/>
      <c r="G169" s="3"/>
      <c r="H169" s="3"/>
      <c r="I169" s="65"/>
    </row>
    <row r="170" spans="2:9" x14ac:dyDescent="0.25">
      <c r="B170" s="2"/>
      <c r="C170" s="2"/>
      <c r="D170" s="3"/>
      <c r="E170" s="3"/>
      <c r="F170" s="65"/>
      <c r="G170" s="3"/>
      <c r="H170" s="3"/>
      <c r="I170" s="65"/>
    </row>
    <row r="171" spans="2:9" x14ac:dyDescent="0.25">
      <c r="B171" s="2"/>
      <c r="C171" s="2"/>
      <c r="D171" s="3"/>
      <c r="E171" s="3"/>
      <c r="F171" s="65"/>
      <c r="G171" s="3"/>
      <c r="H171" s="3"/>
      <c r="I171" s="65"/>
    </row>
    <row r="172" spans="2:9" x14ac:dyDescent="0.25">
      <c r="B172" s="2"/>
      <c r="C172" s="2"/>
      <c r="D172" s="3"/>
      <c r="E172" s="3"/>
      <c r="F172" s="65"/>
      <c r="G172" s="3"/>
      <c r="H172" s="3"/>
      <c r="I172" s="65"/>
    </row>
    <row r="173" spans="2:9" x14ac:dyDescent="0.25">
      <c r="B173" s="2"/>
      <c r="C173" s="2"/>
      <c r="D173" s="3"/>
      <c r="E173" s="3"/>
      <c r="F173" s="65"/>
      <c r="G173" s="3"/>
      <c r="H173" s="3"/>
      <c r="I173" s="65"/>
    </row>
    <row r="174" spans="2:9" x14ac:dyDescent="0.25">
      <c r="B174" s="2"/>
      <c r="C174" s="2"/>
      <c r="D174" s="3"/>
      <c r="E174" s="3"/>
      <c r="F174" s="65"/>
      <c r="G174" s="3"/>
      <c r="H174" s="3"/>
      <c r="I174" s="65"/>
    </row>
    <row r="175" spans="2:9" x14ac:dyDescent="0.25">
      <c r="B175" s="2"/>
      <c r="C175" s="2"/>
      <c r="D175" s="3"/>
      <c r="E175" s="3"/>
      <c r="F175" s="65"/>
      <c r="G175" s="3"/>
      <c r="H175" s="3"/>
      <c r="I175" s="65"/>
    </row>
    <row r="176" spans="2:9" x14ac:dyDescent="0.25">
      <c r="B176" s="2"/>
      <c r="C176" s="2"/>
      <c r="D176" s="3"/>
      <c r="E176" s="3"/>
      <c r="F176" s="65"/>
      <c r="G176" s="3"/>
      <c r="H176" s="3"/>
      <c r="I176" s="65"/>
    </row>
    <row r="177" spans="2:9" x14ac:dyDescent="0.25">
      <c r="B177" s="2"/>
      <c r="C177" s="2"/>
      <c r="D177" s="3"/>
      <c r="E177" s="3"/>
      <c r="F177" s="65"/>
      <c r="G177" s="3"/>
      <c r="H177" s="3"/>
      <c r="I177" s="65"/>
    </row>
    <row r="178" spans="2:9" x14ac:dyDescent="0.25">
      <c r="B178" s="2"/>
      <c r="C178" s="2"/>
      <c r="D178" s="3"/>
      <c r="E178" s="3"/>
      <c r="F178" s="65"/>
      <c r="G178" s="3"/>
      <c r="H178" s="3"/>
      <c r="I178" s="65"/>
    </row>
    <row r="179" spans="2:9" x14ac:dyDescent="0.25">
      <c r="B179" s="2"/>
      <c r="C179" s="2"/>
      <c r="D179" s="3"/>
      <c r="E179" s="3"/>
      <c r="F179" s="65"/>
      <c r="G179" s="3"/>
      <c r="H179" s="3"/>
      <c r="I179" s="65"/>
    </row>
    <row r="180" spans="2:9" x14ac:dyDescent="0.25">
      <c r="B180" s="2"/>
      <c r="C180" s="2"/>
      <c r="D180" s="3"/>
      <c r="E180" s="3"/>
      <c r="F180" s="65"/>
      <c r="G180" s="3"/>
      <c r="H180" s="3"/>
      <c r="I180" s="65"/>
    </row>
    <row r="181" spans="2:9" x14ac:dyDescent="0.25">
      <c r="B181" s="2"/>
      <c r="C181" s="2"/>
      <c r="D181" s="3"/>
      <c r="E181" s="3"/>
      <c r="F181" s="65"/>
      <c r="G181" s="3"/>
      <c r="H181" s="3"/>
      <c r="I181" s="65"/>
    </row>
    <row r="182" spans="2:9" x14ac:dyDescent="0.25">
      <c r="B182" s="2"/>
      <c r="C182" s="2"/>
      <c r="D182" s="3"/>
      <c r="E182" s="3"/>
      <c r="F182" s="65"/>
      <c r="G182" s="3"/>
      <c r="H182" s="3"/>
      <c r="I182" s="65"/>
    </row>
    <row r="183" spans="2:9" x14ac:dyDescent="0.25">
      <c r="B183" s="2"/>
      <c r="C183" s="2"/>
      <c r="D183" s="3"/>
      <c r="E183" s="3"/>
      <c r="F183" s="65"/>
      <c r="G183" s="3"/>
      <c r="H183" s="3"/>
      <c r="I183" s="65"/>
    </row>
    <row r="184" spans="2:9" x14ac:dyDescent="0.25">
      <c r="B184" s="2"/>
      <c r="C184" s="2"/>
      <c r="D184" s="3"/>
      <c r="E184" s="3"/>
      <c r="F184" s="65"/>
      <c r="G184" s="3"/>
      <c r="H184" s="3"/>
      <c r="I184" s="65"/>
    </row>
    <row r="185" spans="2:9" x14ac:dyDescent="0.25">
      <c r="B185" s="2"/>
      <c r="C185" s="2"/>
      <c r="D185" s="3"/>
      <c r="E185" s="3"/>
      <c r="F185" s="65"/>
      <c r="G185" s="3"/>
      <c r="H185" s="3"/>
      <c r="I185" s="65"/>
    </row>
    <row r="186" spans="2:9" x14ac:dyDescent="0.25">
      <c r="B186" s="2"/>
      <c r="C186" s="2"/>
      <c r="D186" s="3"/>
      <c r="E186" s="3"/>
      <c r="F186" s="65"/>
      <c r="G186" s="3"/>
      <c r="H186" s="3"/>
      <c r="I186" s="65"/>
    </row>
    <row r="187" spans="2:9" x14ac:dyDescent="0.25">
      <c r="B187" s="2"/>
      <c r="C187" s="2"/>
      <c r="D187" s="3"/>
      <c r="E187" s="3"/>
      <c r="F187" s="65"/>
      <c r="G187" s="3"/>
      <c r="H187" s="3"/>
      <c r="I187" s="65"/>
    </row>
    <row r="188" spans="2:9" x14ac:dyDescent="0.25">
      <c r="B188" s="2"/>
      <c r="C188" s="2"/>
      <c r="D188" s="3"/>
      <c r="E188" s="3"/>
      <c r="F188" s="65"/>
      <c r="G188" s="3"/>
      <c r="H188" s="3"/>
      <c r="I188" s="65"/>
    </row>
    <row r="189" spans="2:9" x14ac:dyDescent="0.25">
      <c r="B189" s="2"/>
      <c r="C189" s="2"/>
      <c r="D189" s="3"/>
      <c r="E189" s="3"/>
      <c r="F189" s="65"/>
      <c r="G189" s="3"/>
      <c r="H189" s="3"/>
      <c r="I189" s="65"/>
    </row>
    <row r="190" spans="2:9" x14ac:dyDescent="0.25">
      <c r="B190" s="2"/>
      <c r="C190" s="2"/>
      <c r="D190" s="3"/>
      <c r="E190" s="3"/>
      <c r="F190" s="65"/>
      <c r="G190" s="3"/>
      <c r="H190" s="3"/>
      <c r="I190" s="65"/>
    </row>
    <row r="191" spans="2:9" x14ac:dyDescent="0.25">
      <c r="B191" s="2"/>
      <c r="C191" s="2"/>
      <c r="D191" s="3"/>
      <c r="E191" s="3"/>
      <c r="F191" s="65"/>
      <c r="G191" s="3"/>
      <c r="H191" s="3"/>
      <c r="I191" s="65"/>
    </row>
    <row r="192" spans="2:9" x14ac:dyDescent="0.25">
      <c r="B192" s="2"/>
      <c r="C192" s="2"/>
      <c r="D192" s="3"/>
      <c r="E192" s="3"/>
      <c r="F192" s="65"/>
      <c r="G192" s="3"/>
      <c r="H192" s="3"/>
      <c r="I192" s="65"/>
    </row>
    <row r="193" spans="2:9" x14ac:dyDescent="0.25">
      <c r="B193" s="2"/>
      <c r="C193" s="2"/>
      <c r="D193" s="3"/>
      <c r="E193" s="3"/>
      <c r="F193" s="65"/>
      <c r="G193" s="3"/>
      <c r="H193" s="3"/>
      <c r="I193" s="65"/>
    </row>
    <row r="194" spans="2:9" x14ac:dyDescent="0.25">
      <c r="B194" s="2"/>
      <c r="C194" s="2"/>
      <c r="D194" s="3"/>
      <c r="E194" s="3"/>
      <c r="F194" s="65"/>
      <c r="G194" s="3"/>
      <c r="H194" s="3"/>
      <c r="I194" s="65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1597222222222228" right="0.22847222222222222" top="0.59027777777777779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L260"/>
  <sheetViews>
    <sheetView tabSelected="1" view="pageBreakPreview" topLeftCell="E1" zoomScaleSheetLayoutView="100" workbookViewId="0">
      <selection activeCell="I1" sqref="I1"/>
    </sheetView>
  </sheetViews>
  <sheetFormatPr defaultColWidth="11.5703125" defaultRowHeight="15.75" x14ac:dyDescent="0.25"/>
  <cols>
    <col min="1" max="1" width="10.7109375" style="19" customWidth="1"/>
    <col min="2" max="2" width="66.140625" style="19" customWidth="1"/>
    <col min="3" max="3" width="9.85546875" style="19" customWidth="1"/>
    <col min="4" max="4" width="13.7109375" style="19" customWidth="1"/>
    <col min="5" max="5" width="9.85546875" style="19" customWidth="1"/>
    <col min="6" max="6" width="13.5703125" style="20" customWidth="1"/>
    <col min="7" max="7" width="13.140625" style="19" customWidth="1"/>
    <col min="8" max="8" width="11.5703125" style="19" customWidth="1"/>
    <col min="9" max="9" width="14.140625" style="20" customWidth="1"/>
    <col min="10" max="246" width="9.140625" style="19" customWidth="1"/>
  </cols>
  <sheetData>
    <row r="1" spans="2:9" s="2" customFormat="1" ht="18.75" x14ac:dyDescent="0.25">
      <c r="I1" s="4" t="s">
        <v>913</v>
      </c>
    </row>
    <row r="2" spans="2:9" s="2" customFormat="1" ht="20.25" x14ac:dyDescent="0.3">
      <c r="B2" s="180" t="s">
        <v>5</v>
      </c>
      <c r="I2" s="5" t="str">
        <f>+'13 Művház'!I2</f>
        <v>a 2/2020.(II.27. ) önkormányzati rendelethez</v>
      </c>
    </row>
    <row r="3" spans="2:9" s="2" customFormat="1" x14ac:dyDescent="0.25">
      <c r="B3" s="31" t="s">
        <v>768</v>
      </c>
      <c r="C3" s="25"/>
      <c r="D3" s="25"/>
      <c r="E3" s="25"/>
      <c r="F3" s="26"/>
      <c r="G3" s="25"/>
      <c r="H3" s="25"/>
      <c r="I3" s="26"/>
    </row>
    <row r="4" spans="2:9" s="2" customFormat="1" x14ac:dyDescent="0.25">
      <c r="B4" s="29" t="s">
        <v>717</v>
      </c>
      <c r="C4" s="30"/>
      <c r="D4" s="30"/>
      <c r="E4" s="30"/>
      <c r="F4" s="31"/>
      <c r="G4" s="30"/>
      <c r="H4" s="30"/>
      <c r="I4" s="31"/>
    </row>
    <row r="5" spans="2:9" ht="15.75" customHeight="1" x14ac:dyDescent="0.25">
      <c r="B5" s="34"/>
      <c r="D5" s="583" t="s">
        <v>6</v>
      </c>
      <c r="E5" s="583"/>
      <c r="F5" s="583"/>
      <c r="G5" s="583" t="s">
        <v>7</v>
      </c>
      <c r="H5" s="583"/>
      <c r="I5" s="583"/>
    </row>
    <row r="6" spans="2:9" ht="47.25" x14ac:dyDescent="0.25">
      <c r="B6" s="8" t="s">
        <v>8</v>
      </c>
      <c r="C6" s="35" t="s">
        <v>33</v>
      </c>
      <c r="D6" s="36" t="s">
        <v>9</v>
      </c>
      <c r="E6" s="36" t="s">
        <v>10</v>
      </c>
      <c r="F6" s="35" t="s">
        <v>515</v>
      </c>
      <c r="G6" s="36" t="s">
        <v>9</v>
      </c>
      <c r="H6" s="36" t="s">
        <v>10</v>
      </c>
      <c r="I6" s="35" t="s">
        <v>515</v>
      </c>
    </row>
    <row r="7" spans="2:9" x14ac:dyDescent="0.25">
      <c r="B7" s="39" t="s">
        <v>34</v>
      </c>
      <c r="C7" s="40" t="s">
        <v>35</v>
      </c>
      <c r="D7" s="13">
        <v>25075343</v>
      </c>
      <c r="E7" s="13"/>
      <c r="F7" s="14">
        <f>+D7+E7</f>
        <v>25075343</v>
      </c>
      <c r="G7" s="13">
        <v>25075343</v>
      </c>
      <c r="H7" s="13"/>
      <c r="I7" s="14">
        <f>+G7+H7</f>
        <v>25075343</v>
      </c>
    </row>
    <row r="8" spans="2:9" x14ac:dyDescent="0.25">
      <c r="B8" s="41" t="s">
        <v>36</v>
      </c>
      <c r="C8" s="40" t="s">
        <v>37</v>
      </c>
      <c r="D8" s="13">
        <v>0</v>
      </c>
      <c r="E8" s="13"/>
      <c r="F8" s="14">
        <f>+D8+E8</f>
        <v>0</v>
      </c>
      <c r="G8" s="13">
        <v>0</v>
      </c>
      <c r="H8" s="13"/>
      <c r="I8" s="14">
        <f>+G8+H8</f>
        <v>0</v>
      </c>
    </row>
    <row r="9" spans="2:9" x14ac:dyDescent="0.25">
      <c r="B9" s="42" t="s">
        <v>38</v>
      </c>
      <c r="C9" s="43" t="s">
        <v>39</v>
      </c>
      <c r="D9" s="14">
        <f t="shared" ref="D9:I9" si="0">SUM(D7:D8)</f>
        <v>25075343</v>
      </c>
      <c r="E9" s="14">
        <f t="shared" si="0"/>
        <v>0</v>
      </c>
      <c r="F9" s="14">
        <f t="shared" si="0"/>
        <v>25075343</v>
      </c>
      <c r="G9" s="14">
        <f>SUM(G7:G8)</f>
        <v>25075343</v>
      </c>
      <c r="H9" s="14">
        <f t="shared" si="0"/>
        <v>0</v>
      </c>
      <c r="I9" s="14">
        <f t="shared" si="0"/>
        <v>25075343</v>
      </c>
    </row>
    <row r="10" spans="2:9" x14ac:dyDescent="0.25">
      <c r="B10" s="44" t="s">
        <v>40</v>
      </c>
      <c r="C10" s="43" t="s">
        <v>41</v>
      </c>
      <c r="D10" s="13">
        <v>3979230</v>
      </c>
      <c r="E10" s="13"/>
      <c r="F10" s="14">
        <f t="shared" ref="F10:F15" si="1">+D10+E10</f>
        <v>3979230</v>
      </c>
      <c r="G10" s="13">
        <v>3979230</v>
      </c>
      <c r="H10" s="13"/>
      <c r="I10" s="14">
        <f t="shared" ref="I10:I15" si="2">+G10+H10</f>
        <v>3979230</v>
      </c>
    </row>
    <row r="11" spans="2:9" x14ac:dyDescent="0.25">
      <c r="B11" s="41" t="s">
        <v>42</v>
      </c>
      <c r="C11" s="40" t="s">
        <v>43</v>
      </c>
      <c r="D11" s="13">
        <v>6360000</v>
      </c>
      <c r="E11" s="13"/>
      <c r="F11" s="14">
        <f t="shared" si="1"/>
        <v>6360000</v>
      </c>
      <c r="G11" s="13">
        <v>8321904</v>
      </c>
      <c r="H11" s="13"/>
      <c r="I11" s="14">
        <f t="shared" si="2"/>
        <v>8321904</v>
      </c>
    </row>
    <row r="12" spans="2:9" x14ac:dyDescent="0.25">
      <c r="B12" s="41" t="s">
        <v>44</v>
      </c>
      <c r="C12" s="40" t="s">
        <v>45</v>
      </c>
      <c r="D12" s="13">
        <v>460000</v>
      </c>
      <c r="E12" s="13"/>
      <c r="F12" s="14">
        <f t="shared" si="1"/>
        <v>460000</v>
      </c>
      <c r="G12" s="13">
        <v>460000</v>
      </c>
      <c r="H12" s="13"/>
      <c r="I12" s="14">
        <f t="shared" si="2"/>
        <v>460000</v>
      </c>
    </row>
    <row r="13" spans="2:9" x14ac:dyDescent="0.25">
      <c r="B13" s="41" t="s">
        <v>46</v>
      </c>
      <c r="C13" s="40" t="s">
        <v>47</v>
      </c>
      <c r="D13" s="13">
        <f>5880000-D12</f>
        <v>5420000</v>
      </c>
      <c r="E13" s="13"/>
      <c r="F13" s="14">
        <f t="shared" si="1"/>
        <v>5420000</v>
      </c>
      <c r="G13" s="13">
        <f>5880000-G12</f>
        <v>5420000</v>
      </c>
      <c r="H13" s="13"/>
      <c r="I13" s="14">
        <f t="shared" si="2"/>
        <v>5420000</v>
      </c>
    </row>
    <row r="14" spans="2:9" x14ac:dyDescent="0.25">
      <c r="B14" s="41" t="s">
        <v>48</v>
      </c>
      <c r="C14" s="40" t="s">
        <v>49</v>
      </c>
      <c r="D14" s="13">
        <v>430000</v>
      </c>
      <c r="E14" s="13"/>
      <c r="F14" s="14">
        <f t="shared" si="1"/>
        <v>430000</v>
      </c>
      <c r="G14" s="13">
        <v>430000</v>
      </c>
      <c r="H14" s="13"/>
      <c r="I14" s="14">
        <f t="shared" si="2"/>
        <v>430000</v>
      </c>
    </row>
    <row r="15" spans="2:9" x14ac:dyDescent="0.25">
      <c r="B15" s="41" t="s">
        <v>50</v>
      </c>
      <c r="C15" s="40" t="s">
        <v>51</v>
      </c>
      <c r="D15" s="13">
        <f>2526100-D14</f>
        <v>2096100</v>
      </c>
      <c r="E15" s="13"/>
      <c r="F15" s="14">
        <f t="shared" si="1"/>
        <v>2096100</v>
      </c>
      <c r="G15" s="13">
        <v>2194196</v>
      </c>
      <c r="H15" s="13"/>
      <c r="I15" s="14">
        <f t="shared" si="2"/>
        <v>2194196</v>
      </c>
    </row>
    <row r="16" spans="2:9" x14ac:dyDescent="0.25">
      <c r="B16" s="44" t="s">
        <v>52</v>
      </c>
      <c r="C16" s="43" t="s">
        <v>53</v>
      </c>
      <c r="D16" s="14">
        <f t="shared" ref="D16:I16" si="3">SUM(D11:D15)</f>
        <v>14766100</v>
      </c>
      <c r="E16" s="14">
        <f t="shared" si="3"/>
        <v>0</v>
      </c>
      <c r="F16" s="14">
        <f t="shared" si="3"/>
        <v>14766100</v>
      </c>
      <c r="G16" s="14">
        <f>SUM(G11:G15)</f>
        <v>16826100</v>
      </c>
      <c r="H16" s="14">
        <f t="shared" si="3"/>
        <v>0</v>
      </c>
      <c r="I16" s="14">
        <f t="shared" si="3"/>
        <v>16826100</v>
      </c>
    </row>
    <row r="17" spans="2:9" x14ac:dyDescent="0.25">
      <c r="B17" s="45" t="s">
        <v>54</v>
      </c>
      <c r="C17" s="43" t="s">
        <v>55</v>
      </c>
      <c r="D17" s="13"/>
      <c r="E17" s="13"/>
      <c r="F17" s="14">
        <f t="shared" ref="F17:F31" si="4">+D17+E17</f>
        <v>0</v>
      </c>
      <c r="G17" s="13"/>
      <c r="H17" s="13"/>
      <c r="I17" s="14">
        <f t="shared" ref="I17:I31" si="5">+G17+H17</f>
        <v>0</v>
      </c>
    </row>
    <row r="18" spans="2:9" hidden="1" x14ac:dyDescent="0.25">
      <c r="B18" s="46" t="s">
        <v>56</v>
      </c>
      <c r="C18" s="40" t="s">
        <v>57</v>
      </c>
      <c r="D18" s="13"/>
      <c r="E18" s="13"/>
      <c r="F18" s="14">
        <f t="shared" si="4"/>
        <v>0</v>
      </c>
      <c r="G18" s="13"/>
      <c r="H18" s="13"/>
      <c r="I18" s="14">
        <f t="shared" si="5"/>
        <v>0</v>
      </c>
    </row>
    <row r="19" spans="2:9" hidden="1" x14ac:dyDescent="0.25">
      <c r="B19" s="46" t="s">
        <v>58</v>
      </c>
      <c r="C19" s="40" t="s">
        <v>59</v>
      </c>
      <c r="D19" s="13"/>
      <c r="E19" s="13"/>
      <c r="F19" s="14">
        <f t="shared" si="4"/>
        <v>0</v>
      </c>
      <c r="G19" s="13"/>
      <c r="H19" s="13"/>
      <c r="I19" s="14">
        <f t="shared" si="5"/>
        <v>0</v>
      </c>
    </row>
    <row r="20" spans="2:9" ht="31.5" hidden="1" x14ac:dyDescent="0.25">
      <c r="B20" s="46" t="s">
        <v>60</v>
      </c>
      <c r="C20" s="40" t="s">
        <v>61</v>
      </c>
      <c r="D20" s="13"/>
      <c r="E20" s="13"/>
      <c r="F20" s="14">
        <f t="shared" si="4"/>
        <v>0</v>
      </c>
      <c r="G20" s="13"/>
      <c r="H20" s="13"/>
      <c r="I20" s="14">
        <f t="shared" si="5"/>
        <v>0</v>
      </c>
    </row>
    <row r="21" spans="2:9" ht="31.5" hidden="1" x14ac:dyDescent="0.25">
      <c r="B21" s="46" t="s">
        <v>62</v>
      </c>
      <c r="C21" s="40" t="s">
        <v>63</v>
      </c>
      <c r="D21" s="13"/>
      <c r="E21" s="13"/>
      <c r="F21" s="14">
        <f t="shared" si="4"/>
        <v>0</v>
      </c>
      <c r="G21" s="13"/>
      <c r="H21" s="13"/>
      <c r="I21" s="14">
        <f t="shared" si="5"/>
        <v>0</v>
      </c>
    </row>
    <row r="22" spans="2:9" ht="31.5" hidden="1" x14ac:dyDescent="0.25">
      <c r="B22" s="46" t="s">
        <v>587</v>
      </c>
      <c r="C22" s="40" t="s">
        <v>65</v>
      </c>
      <c r="D22" s="13"/>
      <c r="E22" s="13"/>
      <c r="F22" s="14">
        <f t="shared" si="4"/>
        <v>0</v>
      </c>
      <c r="G22" s="13"/>
      <c r="H22" s="13"/>
      <c r="I22" s="14">
        <f t="shared" si="5"/>
        <v>0</v>
      </c>
    </row>
    <row r="23" spans="2:9" hidden="1" x14ac:dyDescent="0.25">
      <c r="B23" s="46" t="s">
        <v>66</v>
      </c>
      <c r="C23" s="40" t="s">
        <v>67</v>
      </c>
      <c r="D23" s="13"/>
      <c r="E23" s="13"/>
      <c r="F23" s="14">
        <f t="shared" si="4"/>
        <v>0</v>
      </c>
      <c r="G23" s="13"/>
      <c r="H23" s="13"/>
      <c r="I23" s="14">
        <f t="shared" si="5"/>
        <v>0</v>
      </c>
    </row>
    <row r="24" spans="2:9" ht="31.5" hidden="1" x14ac:dyDescent="0.25">
      <c r="B24" s="46" t="s">
        <v>68</v>
      </c>
      <c r="C24" s="40" t="s">
        <v>69</v>
      </c>
      <c r="D24" s="13"/>
      <c r="E24" s="13"/>
      <c r="F24" s="14">
        <f t="shared" si="4"/>
        <v>0</v>
      </c>
      <c r="G24" s="13"/>
      <c r="H24" s="13"/>
      <c r="I24" s="14">
        <f t="shared" si="5"/>
        <v>0</v>
      </c>
    </row>
    <row r="25" spans="2:9" ht="31.5" hidden="1" x14ac:dyDescent="0.25">
      <c r="B25" s="46" t="s">
        <v>70</v>
      </c>
      <c r="C25" s="40" t="s">
        <v>71</v>
      </c>
      <c r="D25" s="13"/>
      <c r="E25" s="13"/>
      <c r="F25" s="14">
        <f t="shared" si="4"/>
        <v>0</v>
      </c>
      <c r="G25" s="13"/>
      <c r="H25" s="13"/>
      <c r="I25" s="14">
        <f t="shared" si="5"/>
        <v>0</v>
      </c>
    </row>
    <row r="26" spans="2:9" hidden="1" x14ac:dyDescent="0.25">
      <c r="B26" s="46" t="s">
        <v>72</v>
      </c>
      <c r="C26" s="40" t="s">
        <v>73</v>
      </c>
      <c r="D26" s="13"/>
      <c r="E26" s="13"/>
      <c r="F26" s="14">
        <f t="shared" si="4"/>
        <v>0</v>
      </c>
      <c r="G26" s="13"/>
      <c r="H26" s="13"/>
      <c r="I26" s="14">
        <f t="shared" si="5"/>
        <v>0</v>
      </c>
    </row>
    <row r="27" spans="2:9" hidden="1" x14ac:dyDescent="0.25">
      <c r="B27" s="47" t="s">
        <v>74</v>
      </c>
      <c r="C27" s="40" t="s">
        <v>75</v>
      </c>
      <c r="D27" s="13"/>
      <c r="E27" s="13"/>
      <c r="F27" s="14">
        <f t="shared" si="4"/>
        <v>0</v>
      </c>
      <c r="G27" s="13"/>
      <c r="H27" s="13"/>
      <c r="I27" s="14">
        <f t="shared" si="5"/>
        <v>0</v>
      </c>
    </row>
    <row r="28" spans="2:9" hidden="1" x14ac:dyDescent="0.25">
      <c r="B28" s="47" t="s">
        <v>588</v>
      </c>
      <c r="C28" s="40" t="s">
        <v>77</v>
      </c>
      <c r="D28" s="13"/>
      <c r="E28" s="13"/>
      <c r="F28" s="14">
        <f t="shared" si="4"/>
        <v>0</v>
      </c>
      <c r="G28" s="13"/>
      <c r="H28" s="13"/>
      <c r="I28" s="14">
        <f t="shared" si="5"/>
        <v>0</v>
      </c>
    </row>
    <row r="29" spans="2:9" hidden="1" x14ac:dyDescent="0.25">
      <c r="B29" s="46" t="s">
        <v>78</v>
      </c>
      <c r="C29" s="40" t="s">
        <v>79</v>
      </c>
      <c r="D29" s="13"/>
      <c r="E29" s="13"/>
      <c r="F29" s="14">
        <f t="shared" si="4"/>
        <v>0</v>
      </c>
      <c r="G29" s="13"/>
      <c r="H29" s="13"/>
      <c r="I29" s="14">
        <f t="shared" si="5"/>
        <v>0</v>
      </c>
    </row>
    <row r="30" spans="2:9" hidden="1" x14ac:dyDescent="0.25">
      <c r="B30" s="47" t="s">
        <v>80</v>
      </c>
      <c r="C30" s="40" t="s">
        <v>81</v>
      </c>
      <c r="D30" s="13"/>
      <c r="E30" s="13"/>
      <c r="F30" s="14">
        <f t="shared" si="4"/>
        <v>0</v>
      </c>
      <c r="G30" s="13"/>
      <c r="H30" s="13"/>
      <c r="I30" s="14">
        <f t="shared" si="5"/>
        <v>0</v>
      </c>
    </row>
    <row r="31" spans="2:9" hidden="1" x14ac:dyDescent="0.25">
      <c r="B31" s="47" t="s">
        <v>82</v>
      </c>
      <c r="C31" s="40" t="s">
        <v>81</v>
      </c>
      <c r="D31" s="13"/>
      <c r="E31" s="13"/>
      <c r="F31" s="14">
        <f t="shared" si="4"/>
        <v>0</v>
      </c>
      <c r="G31" s="13"/>
      <c r="H31" s="13"/>
      <c r="I31" s="14">
        <f t="shared" si="5"/>
        <v>0</v>
      </c>
    </row>
    <row r="32" spans="2:9" s="20" customFormat="1" x14ac:dyDescent="0.25">
      <c r="B32" s="45" t="s">
        <v>83</v>
      </c>
      <c r="C32" s="43" t="s">
        <v>84</v>
      </c>
      <c r="D32" s="14">
        <f t="shared" ref="D32:I32" si="6">SUM(D18:D31)</f>
        <v>0</v>
      </c>
      <c r="E32" s="14">
        <f t="shared" si="6"/>
        <v>0</v>
      </c>
      <c r="F32" s="14">
        <f t="shared" si="6"/>
        <v>0</v>
      </c>
      <c r="G32" s="14">
        <f>SUM(G18:G31)</f>
        <v>0</v>
      </c>
      <c r="H32" s="14">
        <f t="shared" si="6"/>
        <v>0</v>
      </c>
      <c r="I32" s="14">
        <f t="shared" si="6"/>
        <v>0</v>
      </c>
    </row>
    <row r="33" spans="2:9" x14ac:dyDescent="0.25">
      <c r="B33" s="48" t="s">
        <v>85</v>
      </c>
      <c r="C33" s="49" t="s">
        <v>86</v>
      </c>
      <c r="D33" s="50">
        <f t="shared" ref="D33:I33" si="7">+D32+D17+D16+D10+D9</f>
        <v>43820673</v>
      </c>
      <c r="E33" s="50">
        <f t="shared" si="7"/>
        <v>0</v>
      </c>
      <c r="F33" s="50">
        <f t="shared" si="7"/>
        <v>43820673</v>
      </c>
      <c r="G33" s="50">
        <f>+G32+G17+G16+G10+G9</f>
        <v>45880673</v>
      </c>
      <c r="H33" s="50">
        <f t="shared" si="7"/>
        <v>0</v>
      </c>
      <c r="I33" s="50">
        <f t="shared" si="7"/>
        <v>45880673</v>
      </c>
    </row>
    <row r="34" spans="2:9" x14ac:dyDescent="0.25">
      <c r="B34" s="51" t="s">
        <v>87</v>
      </c>
      <c r="C34" s="40" t="s">
        <v>88</v>
      </c>
      <c r="D34" s="13"/>
      <c r="E34" s="13"/>
      <c r="F34" s="14">
        <f t="shared" ref="F34:F40" si="8">+D34+E34</f>
        <v>0</v>
      </c>
      <c r="G34" s="13"/>
      <c r="H34" s="13"/>
      <c r="I34" s="14">
        <f t="shared" ref="I34:I40" si="9">+G34+H34</f>
        <v>0</v>
      </c>
    </row>
    <row r="35" spans="2:9" x14ac:dyDescent="0.25">
      <c r="B35" s="51" t="s">
        <v>89</v>
      </c>
      <c r="C35" s="40" t="s">
        <v>90</v>
      </c>
      <c r="D35" s="13"/>
      <c r="E35" s="13"/>
      <c r="F35" s="14">
        <f t="shared" si="8"/>
        <v>0</v>
      </c>
      <c r="G35" s="13"/>
      <c r="H35" s="13"/>
      <c r="I35" s="14">
        <f t="shared" si="9"/>
        <v>0</v>
      </c>
    </row>
    <row r="36" spans="2:9" x14ac:dyDescent="0.25">
      <c r="B36" s="51" t="s">
        <v>91</v>
      </c>
      <c r="C36" s="40" t="s">
        <v>92</v>
      </c>
      <c r="D36" s="13"/>
      <c r="E36" s="13"/>
      <c r="F36" s="14">
        <f t="shared" si="8"/>
        <v>0</v>
      </c>
      <c r="G36" s="13"/>
      <c r="H36" s="13"/>
      <c r="I36" s="14">
        <f t="shared" si="9"/>
        <v>0</v>
      </c>
    </row>
    <row r="37" spans="2:9" x14ac:dyDescent="0.25">
      <c r="B37" s="51" t="s">
        <v>93</v>
      </c>
      <c r="C37" s="40" t="s">
        <v>94</v>
      </c>
      <c r="D37" s="13">
        <v>800000</v>
      </c>
      <c r="E37" s="13"/>
      <c r="F37" s="14">
        <f t="shared" si="8"/>
        <v>800000</v>
      </c>
      <c r="G37" s="13">
        <v>800000</v>
      </c>
      <c r="H37" s="13"/>
      <c r="I37" s="14">
        <f t="shared" si="9"/>
        <v>800000</v>
      </c>
    </row>
    <row r="38" spans="2:9" x14ac:dyDescent="0.25">
      <c r="B38" s="52" t="s">
        <v>95</v>
      </c>
      <c r="C38" s="40" t="s">
        <v>96</v>
      </c>
      <c r="D38" s="13"/>
      <c r="E38" s="13"/>
      <c r="F38" s="14">
        <f t="shared" si="8"/>
        <v>0</v>
      </c>
      <c r="G38" s="13"/>
      <c r="H38" s="13"/>
      <c r="I38" s="14">
        <f t="shared" si="9"/>
        <v>0</v>
      </c>
    </row>
    <row r="39" spans="2:9" x14ac:dyDescent="0.25">
      <c r="B39" s="52" t="s">
        <v>97</v>
      </c>
      <c r="C39" s="40" t="s">
        <v>98</v>
      </c>
      <c r="D39" s="13"/>
      <c r="E39" s="13"/>
      <c r="F39" s="14">
        <f t="shared" si="8"/>
        <v>0</v>
      </c>
      <c r="G39" s="13"/>
      <c r="H39" s="13"/>
      <c r="I39" s="14">
        <f t="shared" si="9"/>
        <v>0</v>
      </c>
    </row>
    <row r="40" spans="2:9" x14ac:dyDescent="0.25">
      <c r="B40" s="52" t="s">
        <v>99</v>
      </c>
      <c r="C40" s="40" t="s">
        <v>100</v>
      </c>
      <c r="D40" s="13">
        <v>216000</v>
      </c>
      <c r="E40" s="13"/>
      <c r="F40" s="14">
        <f t="shared" si="8"/>
        <v>216000</v>
      </c>
      <c r="G40" s="13">
        <v>216000</v>
      </c>
      <c r="H40" s="13"/>
      <c r="I40" s="14">
        <f t="shared" si="9"/>
        <v>216000</v>
      </c>
    </row>
    <row r="41" spans="2:9" s="20" customFormat="1" x14ac:dyDescent="0.25">
      <c r="B41" s="53" t="s">
        <v>101</v>
      </c>
      <c r="C41" s="43" t="s">
        <v>102</v>
      </c>
      <c r="D41" s="14">
        <f t="shared" ref="D41:I41" si="10">SUM(D34:D40)</f>
        <v>1016000</v>
      </c>
      <c r="E41" s="14">
        <f t="shared" si="10"/>
        <v>0</v>
      </c>
      <c r="F41" s="14">
        <f t="shared" si="10"/>
        <v>1016000</v>
      </c>
      <c r="G41" s="14">
        <f>SUM(G34:G40)</f>
        <v>1016000</v>
      </c>
      <c r="H41" s="14">
        <f t="shared" si="10"/>
        <v>0</v>
      </c>
      <c r="I41" s="14">
        <f t="shared" si="10"/>
        <v>1016000</v>
      </c>
    </row>
    <row r="42" spans="2:9" x14ac:dyDescent="0.25">
      <c r="B42" s="54" t="s">
        <v>103</v>
      </c>
      <c r="C42" s="40" t="s">
        <v>104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4" t="s">
        <v>105</v>
      </c>
      <c r="C43" s="40" t="s">
        <v>106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4" t="s">
        <v>107</v>
      </c>
      <c r="C44" s="40" t="s">
        <v>108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4" t="s">
        <v>109</v>
      </c>
      <c r="C45" s="40" t="s">
        <v>110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4" t="s">
        <v>111</v>
      </c>
      <c r="C46" s="43" t="s">
        <v>112</v>
      </c>
      <c r="D46" s="14">
        <f t="shared" ref="D46:I46" si="11">SUM(D42:D45)</f>
        <v>0</v>
      </c>
      <c r="E46" s="14">
        <f t="shared" si="11"/>
        <v>0</v>
      </c>
      <c r="F46" s="14">
        <f t="shared" si="11"/>
        <v>0</v>
      </c>
      <c r="G46" s="14">
        <f t="shared" si="11"/>
        <v>0</v>
      </c>
      <c r="H46" s="14">
        <f t="shared" si="11"/>
        <v>0</v>
      </c>
      <c r="I46" s="14">
        <f t="shared" si="11"/>
        <v>0</v>
      </c>
    </row>
    <row r="47" spans="2:9" ht="15" hidden="1" customHeight="1" x14ac:dyDescent="0.25">
      <c r="B47" s="54" t="s">
        <v>589</v>
      </c>
      <c r="C47" s="40" t="s">
        <v>114</v>
      </c>
      <c r="D47" s="13"/>
      <c r="E47" s="13"/>
      <c r="F47" s="14">
        <f t="shared" ref="F47:F55" si="12">+D47+E47</f>
        <v>0</v>
      </c>
      <c r="G47" s="13"/>
      <c r="H47" s="13"/>
      <c r="I47" s="14">
        <f t="shared" ref="I47:I55" si="13">+G47+H47</f>
        <v>0</v>
      </c>
    </row>
    <row r="48" spans="2:9" ht="15" hidden="1" customHeight="1" x14ac:dyDescent="0.25">
      <c r="B48" s="54" t="s">
        <v>590</v>
      </c>
      <c r="C48" s="40" t="s">
        <v>116</v>
      </c>
      <c r="D48" s="13"/>
      <c r="E48" s="13"/>
      <c r="F48" s="14">
        <f t="shared" si="12"/>
        <v>0</v>
      </c>
      <c r="G48" s="13"/>
      <c r="H48" s="13"/>
      <c r="I48" s="14">
        <f t="shared" si="13"/>
        <v>0</v>
      </c>
    </row>
    <row r="49" spans="2:10" ht="15" hidden="1" customHeight="1" x14ac:dyDescent="0.25">
      <c r="B49" s="54" t="s">
        <v>117</v>
      </c>
      <c r="C49" s="40" t="s">
        <v>118</v>
      </c>
      <c r="D49" s="13"/>
      <c r="E49" s="13"/>
      <c r="F49" s="14">
        <f t="shared" si="12"/>
        <v>0</v>
      </c>
      <c r="G49" s="13"/>
      <c r="H49" s="13"/>
      <c r="I49" s="14">
        <f t="shared" si="13"/>
        <v>0</v>
      </c>
    </row>
    <row r="50" spans="2:10" ht="15" hidden="1" customHeight="1" x14ac:dyDescent="0.25">
      <c r="B50" s="54" t="s">
        <v>119</v>
      </c>
      <c r="C50" s="40" t="s">
        <v>120</v>
      </c>
      <c r="D50" s="13"/>
      <c r="E50" s="13"/>
      <c r="F50" s="14">
        <f t="shared" si="12"/>
        <v>0</v>
      </c>
      <c r="G50" s="13"/>
      <c r="H50" s="13"/>
      <c r="I50" s="14">
        <f t="shared" si="13"/>
        <v>0</v>
      </c>
    </row>
    <row r="51" spans="2:10" ht="15" hidden="1" customHeight="1" x14ac:dyDescent="0.25">
      <c r="B51" s="54" t="s">
        <v>121</v>
      </c>
      <c r="C51" s="40" t="s">
        <v>122</v>
      </c>
      <c r="D51" s="13"/>
      <c r="E51" s="13"/>
      <c r="F51" s="14">
        <f t="shared" si="12"/>
        <v>0</v>
      </c>
      <c r="G51" s="13"/>
      <c r="H51" s="13"/>
      <c r="I51" s="14">
        <f t="shared" si="13"/>
        <v>0</v>
      </c>
    </row>
    <row r="52" spans="2:10" ht="15" hidden="1" customHeight="1" x14ac:dyDescent="0.25">
      <c r="B52" s="54" t="s">
        <v>123</v>
      </c>
      <c r="C52" s="40" t="s">
        <v>124</v>
      </c>
      <c r="D52" s="13"/>
      <c r="E52" s="13"/>
      <c r="F52" s="14">
        <f t="shared" si="12"/>
        <v>0</v>
      </c>
      <c r="G52" s="13"/>
      <c r="H52" s="13"/>
      <c r="I52" s="14">
        <f t="shared" si="13"/>
        <v>0</v>
      </c>
    </row>
    <row r="53" spans="2:10" ht="15" hidden="1" customHeight="1" x14ac:dyDescent="0.25">
      <c r="B53" s="54" t="s">
        <v>125</v>
      </c>
      <c r="C53" s="40" t="s">
        <v>126</v>
      </c>
      <c r="D53" s="13"/>
      <c r="E53" s="13"/>
      <c r="F53" s="14">
        <f t="shared" si="12"/>
        <v>0</v>
      </c>
      <c r="G53" s="13"/>
      <c r="H53" s="13"/>
      <c r="I53" s="14">
        <f t="shared" si="13"/>
        <v>0</v>
      </c>
    </row>
    <row r="54" spans="2:10" ht="15" hidden="1" customHeight="1" x14ac:dyDescent="0.25">
      <c r="B54" s="47" t="s">
        <v>591</v>
      </c>
      <c r="C54" s="40" t="s">
        <v>128</v>
      </c>
      <c r="D54" s="13"/>
      <c r="E54" s="13"/>
      <c r="F54" s="14">
        <f t="shared" si="12"/>
        <v>0</v>
      </c>
      <c r="G54" s="13"/>
      <c r="H54" s="13"/>
      <c r="I54" s="14">
        <f t="shared" si="13"/>
        <v>0</v>
      </c>
    </row>
    <row r="55" spans="2:10" hidden="1" x14ac:dyDescent="0.25">
      <c r="B55" s="54" t="s">
        <v>129</v>
      </c>
      <c r="C55" s="40" t="s">
        <v>130</v>
      </c>
      <c r="D55" s="13"/>
      <c r="E55" s="13"/>
      <c r="F55" s="14">
        <f t="shared" si="12"/>
        <v>0</v>
      </c>
      <c r="G55" s="13"/>
      <c r="H55" s="13"/>
      <c r="I55" s="14">
        <f t="shared" si="13"/>
        <v>0</v>
      </c>
    </row>
    <row r="56" spans="2:10" s="20" customFormat="1" x14ac:dyDescent="0.25">
      <c r="B56" s="45" t="s">
        <v>131</v>
      </c>
      <c r="C56" s="43" t="s">
        <v>132</v>
      </c>
      <c r="D56" s="14">
        <f t="shared" ref="D56:I56" si="14">SUM(D47:D55)</f>
        <v>0</v>
      </c>
      <c r="E56" s="14">
        <f t="shared" si="14"/>
        <v>0</v>
      </c>
      <c r="F56" s="14">
        <f t="shared" si="14"/>
        <v>0</v>
      </c>
      <c r="G56" s="14">
        <f t="shared" si="14"/>
        <v>0</v>
      </c>
      <c r="H56" s="14">
        <f t="shared" si="14"/>
        <v>0</v>
      </c>
      <c r="I56" s="14">
        <f t="shared" si="14"/>
        <v>0</v>
      </c>
    </row>
    <row r="57" spans="2:10" x14ac:dyDescent="0.25">
      <c r="B57" s="48" t="s">
        <v>133</v>
      </c>
      <c r="C57" s="49" t="s">
        <v>134</v>
      </c>
      <c r="D57" s="50">
        <f t="shared" ref="D57:I57" si="15">+D56+D46+D41</f>
        <v>1016000</v>
      </c>
      <c r="E57" s="50">
        <f t="shared" si="15"/>
        <v>0</v>
      </c>
      <c r="F57" s="50">
        <f t="shared" si="15"/>
        <v>1016000</v>
      </c>
      <c r="G57" s="50">
        <f t="shared" si="15"/>
        <v>1016000</v>
      </c>
      <c r="H57" s="50">
        <f t="shared" si="15"/>
        <v>0</v>
      </c>
      <c r="I57" s="50">
        <f t="shared" si="15"/>
        <v>1016000</v>
      </c>
    </row>
    <row r="58" spans="2:10" x14ac:dyDescent="0.25">
      <c r="B58" s="55" t="s">
        <v>135</v>
      </c>
      <c r="C58" s="56" t="s">
        <v>136</v>
      </c>
      <c r="D58" s="57">
        <f t="shared" ref="D58:I58" si="16">+D56+D46+D41+D32+D17+D16+D10+D9</f>
        <v>44836673</v>
      </c>
      <c r="E58" s="57">
        <f t="shared" si="16"/>
        <v>0</v>
      </c>
      <c r="F58" s="57">
        <f t="shared" si="16"/>
        <v>44836673</v>
      </c>
      <c r="G58" s="57">
        <f t="shared" si="16"/>
        <v>46896673</v>
      </c>
      <c r="H58" s="57">
        <f t="shared" si="16"/>
        <v>0</v>
      </c>
      <c r="I58" s="57">
        <f t="shared" si="16"/>
        <v>46896673</v>
      </c>
    </row>
    <row r="59" spans="2:10" hidden="1" x14ac:dyDescent="0.25">
      <c r="B59" s="59" t="s">
        <v>572</v>
      </c>
      <c r="C59" s="41" t="s">
        <v>162</v>
      </c>
      <c r="D59" s="181"/>
      <c r="E59" s="181"/>
      <c r="F59" s="13">
        <f>+D59+E59</f>
        <v>0</v>
      </c>
      <c r="G59" s="181"/>
      <c r="H59" s="181"/>
      <c r="I59" s="13">
        <f>+G59+H59</f>
        <v>0</v>
      </c>
      <c r="J59" s="182"/>
    </row>
    <row r="60" spans="2:10" hidden="1" x14ac:dyDescent="0.25">
      <c r="B60" s="59" t="s">
        <v>163</v>
      </c>
      <c r="C60" s="41" t="s">
        <v>164</v>
      </c>
      <c r="D60" s="181"/>
      <c r="E60" s="181"/>
      <c r="F60" s="13">
        <f>+D60+E60</f>
        <v>0</v>
      </c>
      <c r="G60" s="181"/>
      <c r="H60" s="181"/>
      <c r="I60" s="13">
        <f>+G60+H60</f>
        <v>0</v>
      </c>
      <c r="J60" s="182"/>
    </row>
    <row r="61" spans="2:10" hidden="1" x14ac:dyDescent="0.25">
      <c r="B61" s="54" t="s">
        <v>165</v>
      </c>
      <c r="C61" s="41" t="s">
        <v>166</v>
      </c>
      <c r="D61" s="181"/>
      <c r="E61" s="181"/>
      <c r="F61" s="13">
        <f>+D61+E61</f>
        <v>0</v>
      </c>
      <c r="G61" s="181"/>
      <c r="H61" s="181"/>
      <c r="I61" s="13">
        <f>+G61+H61</f>
        <v>0</v>
      </c>
      <c r="J61" s="183"/>
    </row>
    <row r="62" spans="2:10" hidden="1" x14ac:dyDescent="0.25">
      <c r="B62" s="54" t="s">
        <v>167</v>
      </c>
      <c r="C62" s="41" t="s">
        <v>168</v>
      </c>
      <c r="D62" s="181"/>
      <c r="E62" s="181"/>
      <c r="F62" s="13">
        <f>+D62+E62</f>
        <v>0</v>
      </c>
      <c r="G62" s="181"/>
      <c r="H62" s="181"/>
      <c r="I62" s="13">
        <f>+G62+H62</f>
        <v>0</v>
      </c>
      <c r="J62" s="183"/>
    </row>
    <row r="63" spans="2:10" x14ac:dyDescent="0.25">
      <c r="B63" s="62" t="s">
        <v>169</v>
      </c>
      <c r="C63" s="63" t="s">
        <v>170</v>
      </c>
      <c r="D63" s="64">
        <f t="shared" ref="D63:I63" si="17">+D61+D60+D59+D62</f>
        <v>0</v>
      </c>
      <c r="E63" s="64">
        <f t="shared" si="17"/>
        <v>0</v>
      </c>
      <c r="F63" s="64">
        <f t="shared" si="17"/>
        <v>0</v>
      </c>
      <c r="G63" s="64">
        <f t="shared" si="17"/>
        <v>0</v>
      </c>
      <c r="H63" s="64">
        <f t="shared" si="17"/>
        <v>0</v>
      </c>
      <c r="I63" s="64">
        <f t="shared" si="17"/>
        <v>0</v>
      </c>
      <c r="J63" s="184"/>
    </row>
    <row r="64" spans="2:10" x14ac:dyDescent="0.25">
      <c r="B64" s="17" t="s">
        <v>171</v>
      </c>
      <c r="C64" s="17" t="s">
        <v>172</v>
      </c>
      <c r="D64" s="18">
        <f t="shared" ref="D64:I64" si="18">+D58+D63</f>
        <v>44836673</v>
      </c>
      <c r="E64" s="18">
        <f t="shared" si="18"/>
        <v>0</v>
      </c>
      <c r="F64" s="18">
        <f t="shared" si="18"/>
        <v>44836673</v>
      </c>
      <c r="G64" s="18">
        <f t="shared" si="18"/>
        <v>46896673</v>
      </c>
      <c r="H64" s="18">
        <f t="shared" si="18"/>
        <v>0</v>
      </c>
      <c r="I64" s="18">
        <f t="shared" si="18"/>
        <v>46896673</v>
      </c>
    </row>
    <row r="65" spans="2:9" x14ac:dyDescent="0.25">
      <c r="B65" s="2"/>
      <c r="C65" s="2"/>
      <c r="D65" s="3"/>
      <c r="E65" s="3"/>
      <c r="F65" s="65"/>
      <c r="G65" s="3"/>
      <c r="H65" s="3"/>
      <c r="I65" s="65"/>
    </row>
    <row r="66" spans="2:9" ht="15.75" hidden="1" customHeight="1" x14ac:dyDescent="0.25">
      <c r="B66" s="2"/>
      <c r="C66" s="2"/>
      <c r="D66" s="583" t="s">
        <v>7</v>
      </c>
      <c r="E66" s="583"/>
      <c r="F66" s="583"/>
      <c r="G66" s="583" t="s">
        <v>7</v>
      </c>
      <c r="H66" s="583"/>
      <c r="I66" s="583"/>
    </row>
    <row r="67" spans="2:9" ht="47.25" x14ac:dyDescent="0.25">
      <c r="B67" s="8" t="s">
        <v>8</v>
      </c>
      <c r="C67" s="35" t="s">
        <v>173</v>
      </c>
      <c r="D67" s="36" t="s">
        <v>9</v>
      </c>
      <c r="E67" s="36" t="s">
        <v>10</v>
      </c>
      <c r="F67" s="35" t="s">
        <v>515</v>
      </c>
      <c r="G67" s="36" t="s">
        <v>9</v>
      </c>
      <c r="H67" s="36" t="s">
        <v>10</v>
      </c>
      <c r="I67" s="35" t="s">
        <v>515</v>
      </c>
    </row>
    <row r="68" spans="2:9" hidden="1" x14ac:dyDescent="0.25">
      <c r="B68" s="44" t="s">
        <v>573</v>
      </c>
      <c r="C68" s="53" t="s">
        <v>187</v>
      </c>
      <c r="D68" s="14"/>
      <c r="E68" s="14"/>
      <c r="F68" s="14">
        <f t="shared" ref="F68:F73" si="19">+E68+D68</f>
        <v>0</v>
      </c>
      <c r="G68" s="14"/>
      <c r="H68" s="14"/>
      <c r="I68" s="14">
        <f t="shared" ref="I68:I73" si="20">+H68+G68</f>
        <v>0</v>
      </c>
    </row>
    <row r="69" spans="2:9" hidden="1" x14ac:dyDescent="0.25">
      <c r="B69" s="41" t="s">
        <v>188</v>
      </c>
      <c r="C69" s="52" t="s">
        <v>189</v>
      </c>
      <c r="D69" s="14"/>
      <c r="E69" s="14"/>
      <c r="F69" s="14">
        <f t="shared" si="19"/>
        <v>0</v>
      </c>
      <c r="G69" s="14"/>
      <c r="H69" s="14"/>
      <c r="I69" s="14">
        <f t="shared" si="20"/>
        <v>0</v>
      </c>
    </row>
    <row r="70" spans="2:9" ht="31.5" hidden="1" x14ac:dyDescent="0.25">
      <c r="B70" s="41" t="s">
        <v>574</v>
      </c>
      <c r="C70" s="52" t="s">
        <v>191</v>
      </c>
      <c r="D70" s="14"/>
      <c r="E70" s="14"/>
      <c r="F70" s="14">
        <f t="shared" si="19"/>
        <v>0</v>
      </c>
      <c r="G70" s="14"/>
      <c r="H70" s="14"/>
      <c r="I70" s="14">
        <f t="shared" si="20"/>
        <v>0</v>
      </c>
    </row>
    <row r="71" spans="2:9" ht="31.5" hidden="1" x14ac:dyDescent="0.25">
      <c r="B71" s="41" t="s">
        <v>192</v>
      </c>
      <c r="C71" s="52" t="s">
        <v>193</v>
      </c>
      <c r="D71" s="14"/>
      <c r="E71" s="14"/>
      <c r="F71" s="14">
        <f t="shared" si="19"/>
        <v>0</v>
      </c>
      <c r="G71" s="14"/>
      <c r="H71" s="14"/>
      <c r="I71" s="14">
        <f t="shared" si="20"/>
        <v>0</v>
      </c>
    </row>
    <row r="72" spans="2:9" ht="31.5" hidden="1" x14ac:dyDescent="0.25">
      <c r="B72" s="41" t="s">
        <v>194</v>
      </c>
      <c r="C72" s="52" t="s">
        <v>195</v>
      </c>
      <c r="D72" s="14"/>
      <c r="E72" s="14"/>
      <c r="F72" s="14">
        <f t="shared" si="19"/>
        <v>0</v>
      </c>
      <c r="G72" s="14"/>
      <c r="H72" s="14"/>
      <c r="I72" s="14">
        <f t="shared" si="20"/>
        <v>0</v>
      </c>
    </row>
    <row r="73" spans="2:9" x14ac:dyDescent="0.25">
      <c r="B73" s="41" t="s">
        <v>196</v>
      </c>
      <c r="C73" s="52" t="s">
        <v>197</v>
      </c>
      <c r="D73" s="13">
        <v>3902983</v>
      </c>
      <c r="E73" s="13"/>
      <c r="F73" s="14">
        <f t="shared" si="19"/>
        <v>3902983</v>
      </c>
      <c r="G73" s="13">
        <v>3902983</v>
      </c>
      <c r="H73" s="13"/>
      <c r="I73" s="14">
        <f t="shared" si="20"/>
        <v>3902983</v>
      </c>
    </row>
    <row r="74" spans="2:9" x14ac:dyDescent="0.25">
      <c r="B74" s="44" t="s">
        <v>198</v>
      </c>
      <c r="C74" s="53" t="s">
        <v>199</v>
      </c>
      <c r="D74" s="14">
        <f t="shared" ref="D74:I74" si="21">+D73+D72+D71+D70+D69+D68</f>
        <v>3902983</v>
      </c>
      <c r="E74" s="14">
        <f t="shared" si="21"/>
        <v>0</v>
      </c>
      <c r="F74" s="14">
        <f t="shared" si="21"/>
        <v>3902983</v>
      </c>
      <c r="G74" s="14">
        <f>+G73+G72+G71+G70+G69+G68</f>
        <v>3902983</v>
      </c>
      <c r="H74" s="14">
        <f t="shared" si="21"/>
        <v>0</v>
      </c>
      <c r="I74" s="14">
        <f t="shared" si="21"/>
        <v>3902983</v>
      </c>
    </row>
    <row r="75" spans="2:9" x14ac:dyDescent="0.25">
      <c r="B75" s="44" t="s">
        <v>200</v>
      </c>
      <c r="C75" s="53" t="s">
        <v>201</v>
      </c>
      <c r="D75" s="13"/>
      <c r="E75" s="13"/>
      <c r="F75" s="14">
        <f t="shared" ref="F75:F81" si="22">+E75+D75</f>
        <v>0</v>
      </c>
      <c r="G75" s="13"/>
      <c r="H75" s="13"/>
      <c r="I75" s="14">
        <f t="shared" ref="I75:I81" si="23">+H75+G75</f>
        <v>0</v>
      </c>
    </row>
    <row r="76" spans="2:9" hidden="1" x14ac:dyDescent="0.25">
      <c r="B76" s="41" t="s">
        <v>202</v>
      </c>
      <c r="C76" s="52" t="s">
        <v>203</v>
      </c>
      <c r="D76" s="13"/>
      <c r="E76" s="13"/>
      <c r="F76" s="14">
        <f t="shared" si="22"/>
        <v>0</v>
      </c>
      <c r="G76" s="13"/>
      <c r="H76" s="13"/>
      <c r="I76" s="14">
        <f t="shared" si="23"/>
        <v>0</v>
      </c>
    </row>
    <row r="77" spans="2:9" hidden="1" x14ac:dyDescent="0.25">
      <c r="B77" s="41" t="s">
        <v>204</v>
      </c>
      <c r="C77" s="52" t="s">
        <v>205</v>
      </c>
      <c r="D77" s="13"/>
      <c r="E77" s="13"/>
      <c r="F77" s="14">
        <f t="shared" si="22"/>
        <v>0</v>
      </c>
      <c r="G77" s="13"/>
      <c r="H77" s="13"/>
      <c r="I77" s="14">
        <f t="shared" si="23"/>
        <v>0</v>
      </c>
    </row>
    <row r="78" spans="2:9" hidden="1" x14ac:dyDescent="0.25">
      <c r="B78" s="41" t="s">
        <v>206</v>
      </c>
      <c r="C78" s="52" t="s">
        <v>207</v>
      </c>
      <c r="D78" s="13"/>
      <c r="E78" s="13"/>
      <c r="F78" s="14">
        <f t="shared" si="22"/>
        <v>0</v>
      </c>
      <c r="G78" s="13"/>
      <c r="H78" s="13"/>
      <c r="I78" s="14">
        <f t="shared" si="23"/>
        <v>0</v>
      </c>
    </row>
    <row r="79" spans="2:9" hidden="1" x14ac:dyDescent="0.25">
      <c r="B79" s="41" t="s">
        <v>208</v>
      </c>
      <c r="C79" s="52" t="s">
        <v>209</v>
      </c>
      <c r="D79" s="13"/>
      <c r="E79" s="13"/>
      <c r="F79" s="14">
        <f t="shared" si="22"/>
        <v>0</v>
      </c>
      <c r="G79" s="13"/>
      <c r="H79" s="13"/>
      <c r="I79" s="14">
        <f t="shared" si="23"/>
        <v>0</v>
      </c>
    </row>
    <row r="80" spans="2:9" hidden="1" x14ac:dyDescent="0.25">
      <c r="B80" s="41" t="s">
        <v>210</v>
      </c>
      <c r="C80" s="52" t="s">
        <v>211</v>
      </c>
      <c r="D80" s="13"/>
      <c r="E80" s="13"/>
      <c r="F80" s="14">
        <f t="shared" si="22"/>
        <v>0</v>
      </c>
      <c r="G80" s="13"/>
      <c r="H80" s="13"/>
      <c r="I80" s="14">
        <f t="shared" si="23"/>
        <v>0</v>
      </c>
    </row>
    <row r="81" spans="2:9" hidden="1" x14ac:dyDescent="0.25">
      <c r="B81" s="41" t="s">
        <v>212</v>
      </c>
      <c r="C81" s="52" t="s">
        <v>213</v>
      </c>
      <c r="D81" s="13"/>
      <c r="E81" s="13"/>
      <c r="F81" s="14">
        <f t="shared" si="22"/>
        <v>0</v>
      </c>
      <c r="G81" s="13"/>
      <c r="H81" s="13"/>
      <c r="I81" s="14">
        <f t="shared" si="23"/>
        <v>0</v>
      </c>
    </row>
    <row r="82" spans="2:9" x14ac:dyDescent="0.25">
      <c r="B82" s="44" t="s">
        <v>214</v>
      </c>
      <c r="C82" s="53" t="s">
        <v>215</v>
      </c>
      <c r="D82" s="14">
        <f t="shared" ref="D82:I82" si="24">SUM(D76:D81)</f>
        <v>0</v>
      </c>
      <c r="E82" s="14">
        <f t="shared" si="24"/>
        <v>0</v>
      </c>
      <c r="F82" s="14">
        <f t="shared" si="24"/>
        <v>0</v>
      </c>
      <c r="G82" s="14">
        <f>SUM(G76:G81)</f>
        <v>0</v>
      </c>
      <c r="H82" s="14">
        <f t="shared" si="24"/>
        <v>0</v>
      </c>
      <c r="I82" s="14">
        <f t="shared" si="24"/>
        <v>0</v>
      </c>
    </row>
    <row r="83" spans="2:9" x14ac:dyDescent="0.25">
      <c r="B83" s="54" t="s">
        <v>577</v>
      </c>
      <c r="C83" s="52" t="s">
        <v>217</v>
      </c>
      <c r="D83" s="13"/>
      <c r="E83" s="13"/>
      <c r="F83" s="14">
        <f t="shared" ref="F83:F93" si="25">+E83+D83</f>
        <v>0</v>
      </c>
      <c r="G83" s="13">
        <v>100000</v>
      </c>
      <c r="H83" s="13"/>
      <c r="I83" s="14">
        <f t="shared" ref="I83:I93" si="26">+H83+G83</f>
        <v>100000</v>
      </c>
    </row>
    <row r="84" spans="2:9" x14ac:dyDescent="0.25">
      <c r="B84" s="54" t="s">
        <v>218</v>
      </c>
      <c r="C84" s="52" t="s">
        <v>219</v>
      </c>
      <c r="D84" s="13">
        <v>7115000</v>
      </c>
      <c r="E84" s="13"/>
      <c r="F84" s="14">
        <f t="shared" si="25"/>
        <v>7115000</v>
      </c>
      <c r="G84" s="13">
        <v>7015000</v>
      </c>
      <c r="H84" s="13"/>
      <c r="I84" s="14">
        <f t="shared" si="26"/>
        <v>7015000</v>
      </c>
    </row>
    <row r="85" spans="2:9" x14ac:dyDescent="0.25">
      <c r="B85" s="54" t="s">
        <v>220</v>
      </c>
      <c r="C85" s="52" t="s">
        <v>221</v>
      </c>
      <c r="D85" s="13"/>
      <c r="E85" s="13"/>
      <c r="F85" s="14">
        <f t="shared" si="25"/>
        <v>0</v>
      </c>
      <c r="G85" s="13"/>
      <c r="H85" s="13"/>
      <c r="I85" s="14">
        <f t="shared" si="26"/>
        <v>0</v>
      </c>
    </row>
    <row r="86" spans="2:9" x14ac:dyDescent="0.25">
      <c r="B86" s="54" t="s">
        <v>222</v>
      </c>
      <c r="C86" s="52" t="s">
        <v>223</v>
      </c>
      <c r="D86" s="13"/>
      <c r="E86" s="13"/>
      <c r="F86" s="14">
        <f t="shared" si="25"/>
        <v>0</v>
      </c>
      <c r="G86" s="13"/>
      <c r="H86" s="13"/>
      <c r="I86" s="14">
        <f t="shared" si="26"/>
        <v>0</v>
      </c>
    </row>
    <row r="87" spans="2:9" x14ac:dyDescent="0.25">
      <c r="B87" s="54" t="s">
        <v>224</v>
      </c>
      <c r="C87" s="52" t="s">
        <v>225</v>
      </c>
      <c r="D87" s="13"/>
      <c r="E87" s="13"/>
      <c r="F87" s="14">
        <f t="shared" si="25"/>
        <v>0</v>
      </c>
      <c r="G87" s="13"/>
      <c r="H87" s="13"/>
      <c r="I87" s="14">
        <f t="shared" si="26"/>
        <v>0</v>
      </c>
    </row>
    <row r="88" spans="2:9" x14ac:dyDescent="0.25">
      <c r="B88" s="54" t="s">
        <v>226</v>
      </c>
      <c r="C88" s="52" t="s">
        <v>227</v>
      </c>
      <c r="D88" s="13">
        <v>0</v>
      </c>
      <c r="E88" s="13"/>
      <c r="F88" s="14">
        <f t="shared" si="25"/>
        <v>0</v>
      </c>
      <c r="G88" s="13"/>
      <c r="H88" s="13"/>
      <c r="I88" s="14">
        <f t="shared" si="26"/>
        <v>0</v>
      </c>
    </row>
    <row r="89" spans="2:9" x14ac:dyDescent="0.25">
      <c r="B89" s="54" t="s">
        <v>228</v>
      </c>
      <c r="C89" s="52" t="s">
        <v>229</v>
      </c>
      <c r="D89" s="13"/>
      <c r="E89" s="13"/>
      <c r="F89" s="14">
        <f t="shared" si="25"/>
        <v>0</v>
      </c>
      <c r="G89" s="13"/>
      <c r="H89" s="13"/>
      <c r="I89" s="14">
        <f t="shared" si="26"/>
        <v>0</v>
      </c>
    </row>
    <row r="90" spans="2:9" x14ac:dyDescent="0.25">
      <c r="B90" s="54" t="s">
        <v>230</v>
      </c>
      <c r="C90" s="52" t="s">
        <v>231</v>
      </c>
      <c r="D90" s="13"/>
      <c r="E90" s="13"/>
      <c r="F90" s="14">
        <f t="shared" si="25"/>
        <v>0</v>
      </c>
      <c r="G90" s="13"/>
      <c r="H90" s="13"/>
      <c r="I90" s="14">
        <f t="shared" si="26"/>
        <v>0</v>
      </c>
    </row>
    <row r="91" spans="2:9" x14ac:dyDescent="0.25">
      <c r="B91" s="54" t="s">
        <v>232</v>
      </c>
      <c r="C91" s="52" t="s">
        <v>233</v>
      </c>
      <c r="D91" s="13"/>
      <c r="E91" s="13"/>
      <c r="F91" s="14">
        <f t="shared" si="25"/>
        <v>0</v>
      </c>
      <c r="G91" s="13"/>
      <c r="H91" s="13"/>
      <c r="I91" s="14">
        <f t="shared" si="26"/>
        <v>0</v>
      </c>
    </row>
    <row r="92" spans="2:9" x14ac:dyDescent="0.25">
      <c r="B92" s="54" t="s">
        <v>234</v>
      </c>
      <c r="C92" s="52" t="s">
        <v>235</v>
      </c>
      <c r="D92" s="13"/>
      <c r="E92" s="13"/>
      <c r="F92" s="14">
        <f t="shared" si="25"/>
        <v>0</v>
      </c>
      <c r="G92" s="13"/>
      <c r="H92" s="13"/>
      <c r="I92" s="14">
        <f t="shared" si="26"/>
        <v>0</v>
      </c>
    </row>
    <row r="93" spans="2:9" x14ac:dyDescent="0.25">
      <c r="B93" s="54" t="s">
        <v>236</v>
      </c>
      <c r="C93" s="52" t="s">
        <v>237</v>
      </c>
      <c r="D93" s="13"/>
      <c r="E93" s="13"/>
      <c r="F93" s="14">
        <f t="shared" si="25"/>
        <v>0</v>
      </c>
      <c r="G93" s="13"/>
      <c r="H93" s="13"/>
      <c r="I93" s="14">
        <f t="shared" si="26"/>
        <v>0</v>
      </c>
    </row>
    <row r="94" spans="2:9" x14ac:dyDescent="0.25">
      <c r="B94" s="45" t="s">
        <v>238</v>
      </c>
      <c r="C94" s="53" t="s">
        <v>239</v>
      </c>
      <c r="D94" s="14">
        <f t="shared" ref="D94:I94" si="27">SUM(D83:D93)</f>
        <v>7115000</v>
      </c>
      <c r="E94" s="14">
        <f t="shared" si="27"/>
        <v>0</v>
      </c>
      <c r="F94" s="14">
        <f t="shared" si="27"/>
        <v>7115000</v>
      </c>
      <c r="G94" s="14">
        <f t="shared" si="27"/>
        <v>7115000</v>
      </c>
      <c r="H94" s="14">
        <f t="shared" si="27"/>
        <v>0</v>
      </c>
      <c r="I94" s="14">
        <f t="shared" si="27"/>
        <v>7115000</v>
      </c>
    </row>
    <row r="95" spans="2:9" x14ac:dyDescent="0.25">
      <c r="B95" s="54" t="s">
        <v>240</v>
      </c>
      <c r="C95" s="52" t="s">
        <v>241</v>
      </c>
      <c r="D95" s="13"/>
      <c r="E95" s="13"/>
      <c r="F95" s="14">
        <f>+E95+D95</f>
        <v>0</v>
      </c>
      <c r="G95" s="13"/>
      <c r="H95" s="13"/>
      <c r="I95" s="14">
        <f>+H95+G95</f>
        <v>0</v>
      </c>
    </row>
    <row r="96" spans="2:9" x14ac:dyDescent="0.25">
      <c r="B96" s="54" t="s">
        <v>242</v>
      </c>
      <c r="C96" s="52" t="s">
        <v>243</v>
      </c>
      <c r="D96" s="13"/>
      <c r="E96" s="13"/>
      <c r="F96" s="14">
        <f>+E96+D96</f>
        <v>0</v>
      </c>
      <c r="G96" s="13"/>
      <c r="H96" s="13"/>
      <c r="I96" s="14">
        <f>+H96+G96</f>
        <v>0</v>
      </c>
    </row>
    <row r="97" spans="2:9" x14ac:dyDescent="0.25">
      <c r="B97" s="54" t="s">
        <v>244</v>
      </c>
      <c r="C97" s="52" t="s">
        <v>245</v>
      </c>
      <c r="D97" s="13"/>
      <c r="E97" s="13"/>
      <c r="F97" s="14">
        <f>+E97+D97</f>
        <v>0</v>
      </c>
      <c r="G97" s="13"/>
      <c r="H97" s="13"/>
      <c r="I97" s="14">
        <f>+H97+G97</f>
        <v>0</v>
      </c>
    </row>
    <row r="98" spans="2:9" hidden="1" x14ac:dyDescent="0.25">
      <c r="B98" s="54" t="s">
        <v>246</v>
      </c>
      <c r="C98" s="52" t="s">
        <v>247</v>
      </c>
      <c r="D98" s="13"/>
      <c r="E98" s="13"/>
      <c r="F98" s="14">
        <f>+E98+D98</f>
        <v>0</v>
      </c>
      <c r="G98" s="13"/>
      <c r="H98" s="13"/>
      <c r="I98" s="14">
        <f>+H98+G98</f>
        <v>0</v>
      </c>
    </row>
    <row r="99" spans="2:9" hidden="1" x14ac:dyDescent="0.25">
      <c r="B99" s="54" t="s">
        <v>248</v>
      </c>
      <c r="C99" s="52" t="s">
        <v>249</v>
      </c>
      <c r="D99" s="13"/>
      <c r="E99" s="13"/>
      <c r="F99" s="14">
        <f>+E99+D99</f>
        <v>0</v>
      </c>
      <c r="G99" s="13"/>
      <c r="H99" s="13"/>
      <c r="I99" s="14">
        <f>+H99+G99</f>
        <v>0</v>
      </c>
    </row>
    <row r="100" spans="2:9" x14ac:dyDescent="0.25">
      <c r="B100" s="44" t="s">
        <v>250</v>
      </c>
      <c r="C100" s="53" t="s">
        <v>251</v>
      </c>
      <c r="D100" s="14">
        <f t="shared" ref="D100:I100" si="28">SUM(D95:D99)</f>
        <v>0</v>
      </c>
      <c r="E100" s="14">
        <f t="shared" si="28"/>
        <v>0</v>
      </c>
      <c r="F100" s="14">
        <f t="shared" si="28"/>
        <v>0</v>
      </c>
      <c r="G100" s="14">
        <f t="shared" si="28"/>
        <v>0</v>
      </c>
      <c r="H100" s="14">
        <f t="shared" si="28"/>
        <v>0</v>
      </c>
      <c r="I100" s="14">
        <f t="shared" si="28"/>
        <v>0</v>
      </c>
    </row>
    <row r="101" spans="2:9" x14ac:dyDescent="0.25">
      <c r="B101" s="44" t="s">
        <v>252</v>
      </c>
      <c r="C101" s="53" t="s">
        <v>253</v>
      </c>
      <c r="D101" s="13"/>
      <c r="E101" s="13"/>
      <c r="F101" s="14">
        <f>+E101+D101</f>
        <v>0</v>
      </c>
      <c r="G101" s="13"/>
      <c r="H101" s="13"/>
      <c r="I101" s="14">
        <f>+H101+G101</f>
        <v>0</v>
      </c>
    </row>
    <row r="102" spans="2:9" hidden="1" x14ac:dyDescent="0.25">
      <c r="B102" s="54" t="s">
        <v>254</v>
      </c>
      <c r="C102" s="52" t="s">
        <v>255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</row>
    <row r="103" spans="2:9" ht="31.5" hidden="1" x14ac:dyDescent="0.25">
      <c r="B103" s="41" t="s">
        <v>256</v>
      </c>
      <c r="C103" s="52" t="s">
        <v>257</v>
      </c>
      <c r="D103" s="13"/>
      <c r="E103" s="13"/>
      <c r="F103" s="14"/>
      <c r="G103" s="13"/>
      <c r="H103" s="13"/>
      <c r="I103" s="14"/>
    </row>
    <row r="104" spans="2:9" ht="31.5" hidden="1" x14ac:dyDescent="0.25">
      <c r="B104" s="54" t="s">
        <v>258</v>
      </c>
      <c r="C104" s="52" t="s">
        <v>259</v>
      </c>
      <c r="D104" s="13"/>
      <c r="E104" s="13"/>
      <c r="F104" s="14"/>
      <c r="G104" s="13"/>
      <c r="H104" s="13"/>
      <c r="I104" s="14"/>
    </row>
    <row r="105" spans="2:9" ht="15" hidden="1" customHeight="1" x14ac:dyDescent="0.25">
      <c r="B105" s="54" t="s">
        <v>260</v>
      </c>
      <c r="C105" s="52" t="s">
        <v>261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</row>
    <row r="106" spans="2:9" x14ac:dyDescent="0.25">
      <c r="B106" s="54" t="s">
        <v>262</v>
      </c>
      <c r="C106" s="52" t="s">
        <v>263</v>
      </c>
      <c r="D106" s="13"/>
      <c r="E106" s="13"/>
      <c r="F106" s="14">
        <f>+E106+D106</f>
        <v>0</v>
      </c>
      <c r="G106" s="13"/>
      <c r="H106" s="13"/>
      <c r="I106" s="14">
        <f>+H106+G106</f>
        <v>0</v>
      </c>
    </row>
    <row r="107" spans="2:9" x14ac:dyDescent="0.25">
      <c r="B107" s="44" t="s">
        <v>264</v>
      </c>
      <c r="C107" s="53" t="s">
        <v>265</v>
      </c>
      <c r="D107" s="14">
        <f t="shared" ref="D107:I107" si="29">SUM(D102:D106)</f>
        <v>0</v>
      </c>
      <c r="E107" s="14">
        <f t="shared" si="29"/>
        <v>0</v>
      </c>
      <c r="F107" s="14">
        <f t="shared" si="29"/>
        <v>0</v>
      </c>
      <c r="G107" s="14">
        <f t="shared" si="29"/>
        <v>0</v>
      </c>
      <c r="H107" s="14">
        <f t="shared" si="29"/>
        <v>0</v>
      </c>
      <c r="I107" s="14">
        <f t="shared" si="29"/>
        <v>0</v>
      </c>
    </row>
    <row r="108" spans="2:9" x14ac:dyDescent="0.25">
      <c r="B108" s="66" t="s">
        <v>266</v>
      </c>
      <c r="C108" s="55" t="s">
        <v>267</v>
      </c>
      <c r="D108" s="57">
        <f t="shared" ref="D108:I108" si="30">+D107+D101+D100+D94+D82+D75+D74</f>
        <v>11017983</v>
      </c>
      <c r="E108" s="57">
        <f t="shared" si="30"/>
        <v>0</v>
      </c>
      <c r="F108" s="57">
        <f t="shared" si="30"/>
        <v>11017983</v>
      </c>
      <c r="G108" s="57">
        <f t="shared" si="30"/>
        <v>11017983</v>
      </c>
      <c r="H108" s="57">
        <f t="shared" si="30"/>
        <v>0</v>
      </c>
      <c r="I108" s="57">
        <f t="shared" si="30"/>
        <v>11017983</v>
      </c>
    </row>
    <row r="109" spans="2:9" x14ac:dyDescent="0.25">
      <c r="B109" s="67" t="s">
        <v>268</v>
      </c>
      <c r="C109" s="68"/>
      <c r="D109" s="69">
        <f>+D101+D94+D82+D74-D33</f>
        <v>-32802690</v>
      </c>
      <c r="E109" s="69">
        <f>+E101+E94+E82+E74-E33</f>
        <v>0</v>
      </c>
      <c r="F109" s="69">
        <f t="shared" ref="F109:F116" si="31">+E109+D109</f>
        <v>-32802690</v>
      </c>
      <c r="G109" s="69">
        <f>+G101+G94+G82+G74-G33</f>
        <v>-34862690</v>
      </c>
      <c r="H109" s="69">
        <f>+H101+H94+H82+H74-H33</f>
        <v>0</v>
      </c>
      <c r="I109" s="69">
        <f t="shared" ref="I109:I116" si="32">+H109+G109</f>
        <v>-34862690</v>
      </c>
    </row>
    <row r="110" spans="2:9" x14ac:dyDescent="0.25">
      <c r="B110" s="67" t="s">
        <v>269</v>
      </c>
      <c r="C110" s="68"/>
      <c r="D110" s="69">
        <f>+D107+D100+D75-D57</f>
        <v>-1016000</v>
      </c>
      <c r="E110" s="69">
        <f>+E107+E100+E75-E57</f>
        <v>0</v>
      </c>
      <c r="F110" s="69">
        <f t="shared" si="31"/>
        <v>-1016000</v>
      </c>
      <c r="G110" s="69">
        <f>+G107+G100+G75-G57</f>
        <v>-1016000</v>
      </c>
      <c r="H110" s="69">
        <f>+H107+H100+H75-H57</f>
        <v>0</v>
      </c>
      <c r="I110" s="69">
        <f t="shared" si="32"/>
        <v>-1016000</v>
      </c>
    </row>
    <row r="111" spans="2:9" hidden="1" x14ac:dyDescent="0.25">
      <c r="B111" s="45" t="s">
        <v>581</v>
      </c>
      <c r="C111" s="44" t="s">
        <v>277</v>
      </c>
      <c r="D111" s="13"/>
      <c r="E111" s="13"/>
      <c r="F111" s="14">
        <f t="shared" si="31"/>
        <v>0</v>
      </c>
      <c r="G111" s="13"/>
      <c r="H111" s="13"/>
      <c r="I111" s="14">
        <f t="shared" si="32"/>
        <v>0</v>
      </c>
    </row>
    <row r="112" spans="2:9" hidden="1" x14ac:dyDescent="0.25">
      <c r="B112" s="61" t="s">
        <v>582</v>
      </c>
      <c r="C112" s="44" t="s">
        <v>287</v>
      </c>
      <c r="D112" s="13"/>
      <c r="E112" s="13"/>
      <c r="F112" s="14">
        <f t="shared" si="31"/>
        <v>0</v>
      </c>
      <c r="G112" s="13"/>
      <c r="H112" s="13"/>
      <c r="I112" s="14">
        <f t="shared" si="32"/>
        <v>0</v>
      </c>
    </row>
    <row r="113" spans="1:9" x14ac:dyDescent="0.25">
      <c r="B113" s="41" t="s">
        <v>288</v>
      </c>
      <c r="C113" s="41" t="s">
        <v>289</v>
      </c>
      <c r="D113" s="13">
        <v>163642</v>
      </c>
      <c r="E113" s="13"/>
      <c r="F113" s="14">
        <f t="shared" si="31"/>
        <v>163642</v>
      </c>
      <c r="G113" s="13">
        <v>163642</v>
      </c>
      <c r="H113" s="13"/>
      <c r="I113" s="14">
        <f t="shared" si="32"/>
        <v>163642</v>
      </c>
    </row>
    <row r="114" spans="1:9" ht="31.5" x14ac:dyDescent="0.25">
      <c r="B114" s="41" t="s">
        <v>290</v>
      </c>
      <c r="C114" s="41" t="s">
        <v>289</v>
      </c>
      <c r="D114" s="13">
        <v>0</v>
      </c>
      <c r="E114" s="13"/>
      <c r="F114" s="14">
        <f t="shared" si="31"/>
        <v>0</v>
      </c>
      <c r="G114" s="13">
        <v>0</v>
      </c>
      <c r="H114" s="13"/>
      <c r="I114" s="14">
        <f t="shared" si="32"/>
        <v>0</v>
      </c>
    </row>
    <row r="115" spans="1:9" x14ac:dyDescent="0.25">
      <c r="B115" s="41" t="s">
        <v>291</v>
      </c>
      <c r="C115" s="41" t="s">
        <v>292</v>
      </c>
      <c r="D115" s="13"/>
      <c r="E115" s="13"/>
      <c r="F115" s="14">
        <f t="shared" si="31"/>
        <v>0</v>
      </c>
      <c r="G115" s="13"/>
      <c r="H115" s="13"/>
      <c r="I115" s="14">
        <f t="shared" si="32"/>
        <v>0</v>
      </c>
    </row>
    <row r="116" spans="1:9" ht="31.5" x14ac:dyDescent="0.25">
      <c r="A116" s="2" t="s">
        <v>325</v>
      </c>
      <c r="B116" s="41" t="s">
        <v>293</v>
      </c>
      <c r="C116" s="41" t="s">
        <v>292</v>
      </c>
      <c r="D116" s="13"/>
      <c r="E116" s="13"/>
      <c r="F116" s="14">
        <f t="shared" si="31"/>
        <v>0</v>
      </c>
      <c r="G116" s="13"/>
      <c r="H116" s="13"/>
      <c r="I116" s="14">
        <f t="shared" si="32"/>
        <v>0</v>
      </c>
    </row>
    <row r="117" spans="1:9" x14ac:dyDescent="0.25">
      <c r="A117" s="2" t="s">
        <v>592</v>
      </c>
      <c r="B117" s="44" t="s">
        <v>294</v>
      </c>
      <c r="C117" s="44" t="s">
        <v>295</v>
      </c>
      <c r="D117" s="14">
        <f t="shared" ref="D117:I117" si="33">SUM(D113:D116)</f>
        <v>163642</v>
      </c>
      <c r="E117" s="14">
        <f t="shared" si="33"/>
        <v>0</v>
      </c>
      <c r="F117" s="14">
        <f t="shared" si="33"/>
        <v>163642</v>
      </c>
      <c r="G117" s="14">
        <f>SUM(G113:G116)</f>
        <v>163642</v>
      </c>
      <c r="H117" s="14">
        <f t="shared" si="33"/>
        <v>0</v>
      </c>
      <c r="I117" s="14">
        <f t="shared" si="33"/>
        <v>163642</v>
      </c>
    </row>
    <row r="118" spans="1:9" hidden="1" x14ac:dyDescent="0.25">
      <c r="A118"/>
      <c r="B118" s="59" t="s">
        <v>296</v>
      </c>
      <c r="C118" s="41" t="s">
        <v>297</v>
      </c>
      <c r="D118" s="13"/>
      <c r="E118" s="13"/>
      <c r="F118" s="14">
        <f t="shared" ref="F118:F125" si="34">+E118+D118</f>
        <v>0</v>
      </c>
      <c r="G118" s="13"/>
      <c r="H118" s="13"/>
      <c r="I118" s="14">
        <f t="shared" ref="I118:I125" si="35">+H118+G118</f>
        <v>0</v>
      </c>
    </row>
    <row r="119" spans="1:9" hidden="1" x14ac:dyDescent="0.25">
      <c r="B119" s="59" t="s">
        <v>298</v>
      </c>
      <c r="C119" s="41" t="s">
        <v>299</v>
      </c>
      <c r="D119" s="13"/>
      <c r="E119" s="13"/>
      <c r="F119" s="14">
        <f t="shared" si="34"/>
        <v>0</v>
      </c>
      <c r="G119" s="13"/>
      <c r="H119" s="13"/>
      <c r="I119" s="14">
        <f t="shared" si="35"/>
        <v>0</v>
      </c>
    </row>
    <row r="120" spans="1:9" x14ac:dyDescent="0.25">
      <c r="A120" s="19" t="s">
        <v>602</v>
      </c>
      <c r="B120" s="59" t="s">
        <v>300</v>
      </c>
      <c r="C120" s="41" t="s">
        <v>301</v>
      </c>
      <c r="D120" s="13">
        <v>33655048</v>
      </c>
      <c r="E120" s="13"/>
      <c r="F120" s="14">
        <f t="shared" si="34"/>
        <v>33655048</v>
      </c>
      <c r="G120" s="13">
        <v>35715048</v>
      </c>
      <c r="H120" s="13"/>
      <c r="I120" s="14">
        <f t="shared" si="35"/>
        <v>35715048</v>
      </c>
    </row>
    <row r="121" spans="1:9" s="185" customFormat="1" x14ac:dyDescent="0.25">
      <c r="B121" s="186" t="s">
        <v>594</v>
      </c>
      <c r="C121" s="101"/>
      <c r="D121" s="80">
        <f>4842345+1829945</f>
        <v>6672290</v>
      </c>
      <c r="E121" s="80"/>
      <c r="F121" s="93">
        <f t="shared" si="34"/>
        <v>6672290</v>
      </c>
      <c r="G121" s="80">
        <f>+G120-G122</f>
        <v>8732290</v>
      </c>
      <c r="H121" s="80"/>
      <c r="I121" s="93">
        <f t="shared" si="35"/>
        <v>8732290</v>
      </c>
    </row>
    <row r="122" spans="1:9" s="185" customFormat="1" x14ac:dyDescent="0.25">
      <c r="B122" s="187" t="s">
        <v>586</v>
      </c>
      <c r="C122" s="101"/>
      <c r="D122" s="80">
        <f>+D120-D121</f>
        <v>26982758</v>
      </c>
      <c r="E122" s="80">
        <f>+E120-E121</f>
        <v>0</v>
      </c>
      <c r="F122" s="93">
        <f t="shared" si="34"/>
        <v>26982758</v>
      </c>
      <c r="G122" s="80">
        <f>+D122</f>
        <v>26982758</v>
      </c>
      <c r="H122" s="80">
        <f>+H120-H121</f>
        <v>0</v>
      </c>
      <c r="I122" s="93">
        <f t="shared" si="35"/>
        <v>26982758</v>
      </c>
    </row>
    <row r="123" spans="1:9" hidden="1" x14ac:dyDescent="0.25">
      <c r="B123" s="59" t="s">
        <v>302</v>
      </c>
      <c r="C123" s="41" t="s">
        <v>303</v>
      </c>
      <c r="D123" s="13"/>
      <c r="E123" s="13"/>
      <c r="F123" s="14">
        <f t="shared" si="34"/>
        <v>0</v>
      </c>
      <c r="G123" s="13"/>
      <c r="H123" s="13"/>
      <c r="I123" s="14">
        <f t="shared" si="35"/>
        <v>0</v>
      </c>
    </row>
    <row r="124" spans="1:9" hidden="1" x14ac:dyDescent="0.25">
      <c r="B124" s="54" t="s">
        <v>304</v>
      </c>
      <c r="C124" s="41" t="s">
        <v>305</v>
      </c>
      <c r="D124" s="13"/>
      <c r="E124" s="13"/>
      <c r="F124" s="14">
        <f t="shared" si="34"/>
        <v>0</v>
      </c>
      <c r="G124" s="13"/>
      <c r="H124" s="13"/>
      <c r="I124" s="14">
        <f t="shared" si="35"/>
        <v>0</v>
      </c>
    </row>
    <row r="125" spans="1:9" hidden="1" x14ac:dyDescent="0.25">
      <c r="B125" s="54" t="s">
        <v>306</v>
      </c>
      <c r="C125" s="41" t="s">
        <v>307</v>
      </c>
      <c r="D125" s="13"/>
      <c r="E125" s="13"/>
      <c r="F125" s="14">
        <f t="shared" si="34"/>
        <v>0</v>
      </c>
      <c r="G125" s="13"/>
      <c r="H125" s="13"/>
      <c r="I125" s="14">
        <f t="shared" si="35"/>
        <v>0</v>
      </c>
    </row>
    <row r="126" spans="1:9" x14ac:dyDescent="0.25">
      <c r="B126" s="45" t="s">
        <v>308</v>
      </c>
      <c r="C126" s="44" t="s">
        <v>309</v>
      </c>
      <c r="D126" s="14">
        <f>SUM(D118:D125)+D117+D112+D111-D121-D122</f>
        <v>33818690</v>
      </c>
      <c r="E126" s="14">
        <f>SUM(E118:E125)+E117+E112+E111-E121-E122</f>
        <v>0</v>
      </c>
      <c r="F126" s="14">
        <f>SUM(F118:F124)+F117+F112+F111-F121-F122</f>
        <v>33818690</v>
      </c>
      <c r="G126" s="14">
        <f>SUM(G118:G125)+G117+G112+G111-G121-G122</f>
        <v>35878690</v>
      </c>
      <c r="H126" s="14">
        <f>SUM(H118:H125)+H117+H112+H111-H121-H122</f>
        <v>0</v>
      </c>
      <c r="I126" s="14">
        <f>SUM(I118:I124)+I117+I112+I111-I121-I122</f>
        <v>35878690</v>
      </c>
    </row>
    <row r="127" spans="1:9" hidden="1" x14ac:dyDescent="0.25">
      <c r="B127" s="59" t="s">
        <v>310</v>
      </c>
      <c r="C127" s="41" t="s">
        <v>311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4" t="s">
        <v>312</v>
      </c>
      <c r="C128" s="41" t="s">
        <v>313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4" t="s">
        <v>314</v>
      </c>
      <c r="C129" s="41" t="s">
        <v>315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2" t="s">
        <v>316</v>
      </c>
      <c r="C130" s="63" t="s">
        <v>317</v>
      </c>
      <c r="D130" s="57">
        <f>+D128+D127+D126+D129</f>
        <v>33818690</v>
      </c>
      <c r="E130" s="57">
        <f>+E128+E127+E126+E129</f>
        <v>0</v>
      </c>
      <c r="F130" s="57">
        <f>+F129+F127+F126</f>
        <v>33818690</v>
      </c>
      <c r="G130" s="57">
        <f>+G128+G127+G126+G129</f>
        <v>35878690</v>
      </c>
      <c r="H130" s="57">
        <f>+H128+H127+H126+H129</f>
        <v>0</v>
      </c>
      <c r="I130" s="57">
        <f>+I129+I127+I126</f>
        <v>35878690</v>
      </c>
    </row>
    <row r="131" spans="2:9" x14ac:dyDescent="0.25">
      <c r="B131" s="17" t="s">
        <v>318</v>
      </c>
      <c r="C131" s="17" t="s">
        <v>319</v>
      </c>
      <c r="D131" s="18">
        <f t="shared" ref="D131:I131" si="36">+D108+D130</f>
        <v>44836673</v>
      </c>
      <c r="E131" s="18">
        <f t="shared" si="36"/>
        <v>0</v>
      </c>
      <c r="F131" s="18">
        <f t="shared" si="36"/>
        <v>44836673</v>
      </c>
      <c r="G131" s="18">
        <f t="shared" si="36"/>
        <v>46896673</v>
      </c>
      <c r="H131" s="18">
        <f t="shared" si="36"/>
        <v>0</v>
      </c>
      <c r="I131" s="18">
        <f t="shared" si="36"/>
        <v>46896673</v>
      </c>
    </row>
    <row r="132" spans="2:9" x14ac:dyDescent="0.25">
      <c r="B132" s="2"/>
      <c r="C132" s="2"/>
      <c r="D132" s="3"/>
      <c r="E132" s="3"/>
      <c r="F132" s="65"/>
      <c r="G132" s="3"/>
      <c r="H132" s="3"/>
      <c r="I132" s="65"/>
    </row>
    <row r="133" spans="2:9" x14ac:dyDescent="0.25">
      <c r="B133" s="15" t="s">
        <v>320</v>
      </c>
      <c r="C133" s="15"/>
      <c r="D133" s="14">
        <f t="shared" ref="D133:I133" si="37">+D108-D58</f>
        <v>-33818690</v>
      </c>
      <c r="E133" s="14">
        <f t="shared" si="37"/>
        <v>0</v>
      </c>
      <c r="F133" s="14">
        <f t="shared" si="37"/>
        <v>-33818690</v>
      </c>
      <c r="G133" s="14">
        <f t="shared" si="37"/>
        <v>-35878690</v>
      </c>
      <c r="H133" s="14">
        <f t="shared" si="37"/>
        <v>0</v>
      </c>
      <c r="I133" s="14">
        <f t="shared" si="37"/>
        <v>-35878690</v>
      </c>
    </row>
    <row r="134" spans="2:9" x14ac:dyDescent="0.25">
      <c r="B134" s="15" t="s">
        <v>321</v>
      </c>
      <c r="C134" s="15"/>
      <c r="D134" s="14">
        <f t="shared" ref="D134:I134" si="38">+D130-D63</f>
        <v>33818690</v>
      </c>
      <c r="E134" s="14">
        <f t="shared" si="38"/>
        <v>0</v>
      </c>
      <c r="F134" s="14">
        <f t="shared" si="38"/>
        <v>33818690</v>
      </c>
      <c r="G134" s="14">
        <f t="shared" si="38"/>
        <v>35878690</v>
      </c>
      <c r="H134" s="14">
        <f t="shared" si="38"/>
        <v>0</v>
      </c>
      <c r="I134" s="14">
        <f t="shared" si="38"/>
        <v>35878690</v>
      </c>
    </row>
    <row r="135" spans="2:9" x14ac:dyDescent="0.25">
      <c r="B135" s="2"/>
      <c r="C135" s="2"/>
      <c r="D135" s="3"/>
      <c r="E135" s="3"/>
      <c r="F135" s="65"/>
      <c r="G135" s="3"/>
      <c r="H135" s="3"/>
      <c r="I135" s="65"/>
    </row>
    <row r="136" spans="2:9" x14ac:dyDescent="0.25">
      <c r="B136" s="70" t="s">
        <v>324</v>
      </c>
      <c r="C136" s="2"/>
      <c r="D136" s="3">
        <f t="shared" ref="D136:I136" si="39">+D131-D64</f>
        <v>0</v>
      </c>
      <c r="E136" s="3">
        <f t="shared" si="39"/>
        <v>0</v>
      </c>
      <c r="F136" s="3">
        <f t="shared" si="39"/>
        <v>0</v>
      </c>
      <c r="G136" s="3">
        <f t="shared" si="39"/>
        <v>0</v>
      </c>
      <c r="H136" s="3">
        <f t="shared" si="39"/>
        <v>0</v>
      </c>
      <c r="I136" s="3">
        <f t="shared" si="39"/>
        <v>0</v>
      </c>
    </row>
    <row r="137" spans="2:9" x14ac:dyDescent="0.25">
      <c r="B137" s="2"/>
      <c r="C137" s="2"/>
      <c r="D137" s="3"/>
      <c r="E137" s="3"/>
      <c r="F137" s="65"/>
      <c r="G137" s="3"/>
      <c r="H137" s="3"/>
      <c r="I137" s="65"/>
    </row>
    <row r="138" spans="2:9" x14ac:dyDescent="0.25">
      <c r="B138" s="2"/>
      <c r="C138" s="2"/>
      <c r="D138" s="3"/>
      <c r="E138" s="3"/>
      <c r="F138" s="65"/>
      <c r="G138" s="3"/>
      <c r="H138" s="3"/>
      <c r="I138" s="65"/>
    </row>
    <row r="139" spans="2:9" x14ac:dyDescent="0.25">
      <c r="B139" s="2"/>
      <c r="C139" s="2"/>
      <c r="D139" s="3"/>
      <c r="E139" s="3"/>
      <c r="F139" s="65"/>
      <c r="G139" s="3"/>
      <c r="H139" s="3"/>
      <c r="I139" s="65"/>
    </row>
    <row r="140" spans="2:9" x14ac:dyDescent="0.25">
      <c r="B140" s="2"/>
      <c r="C140" s="2"/>
      <c r="D140" s="3"/>
      <c r="E140" s="3"/>
      <c r="F140" s="65"/>
      <c r="G140" s="3"/>
      <c r="H140" s="3"/>
      <c r="I140" s="65"/>
    </row>
    <row r="141" spans="2:9" x14ac:dyDescent="0.25">
      <c r="B141" s="2"/>
      <c r="C141" s="2"/>
      <c r="D141" s="3"/>
      <c r="E141" s="3"/>
      <c r="F141" s="65"/>
      <c r="G141" s="3"/>
      <c r="H141" s="3"/>
      <c r="I141" s="65"/>
    </row>
    <row r="142" spans="2:9" x14ac:dyDescent="0.25">
      <c r="B142" s="2"/>
      <c r="C142" s="2"/>
      <c r="D142" s="3"/>
      <c r="E142" s="3"/>
      <c r="F142" s="65"/>
      <c r="G142" s="3"/>
      <c r="H142" s="3"/>
      <c r="I142" s="65"/>
    </row>
    <row r="143" spans="2:9" x14ac:dyDescent="0.25">
      <c r="B143" s="2"/>
      <c r="C143" s="2"/>
      <c r="D143" s="3"/>
      <c r="E143" s="3"/>
      <c r="F143" s="65"/>
      <c r="G143" s="3"/>
      <c r="H143" s="3"/>
      <c r="I143" s="65"/>
    </row>
    <row r="144" spans="2:9" x14ac:dyDescent="0.25">
      <c r="B144" s="2"/>
      <c r="C144" s="2"/>
      <c r="D144" s="3"/>
      <c r="E144" s="3"/>
      <c r="F144" s="65"/>
      <c r="G144" s="3"/>
      <c r="H144" s="3"/>
      <c r="I144" s="65"/>
    </row>
    <row r="145" spans="2:9" x14ac:dyDescent="0.25">
      <c r="B145" s="2"/>
      <c r="C145" s="2"/>
      <c r="D145" s="3"/>
      <c r="E145" s="3"/>
      <c r="F145" s="65"/>
      <c r="G145" s="3"/>
      <c r="H145" s="3"/>
      <c r="I145" s="65"/>
    </row>
    <row r="146" spans="2:9" x14ac:dyDescent="0.25">
      <c r="B146" s="2"/>
      <c r="C146" s="2"/>
      <c r="D146" s="3"/>
      <c r="E146" s="3"/>
      <c r="F146" s="65"/>
      <c r="G146" s="3"/>
      <c r="H146" s="3"/>
      <c r="I146" s="65"/>
    </row>
    <row r="147" spans="2:9" x14ac:dyDescent="0.25">
      <c r="B147" s="2"/>
      <c r="C147" s="2"/>
      <c r="D147" s="3"/>
      <c r="E147" s="3"/>
      <c r="F147" s="65"/>
      <c r="G147" s="3"/>
      <c r="H147" s="3"/>
      <c r="I147" s="65"/>
    </row>
    <row r="148" spans="2:9" x14ac:dyDescent="0.25">
      <c r="B148" s="2"/>
      <c r="C148" s="2"/>
      <c r="D148" s="3"/>
      <c r="E148" s="3"/>
      <c r="F148" s="65"/>
      <c r="G148" s="3"/>
      <c r="H148" s="3"/>
      <c r="I148" s="65"/>
    </row>
    <row r="149" spans="2:9" x14ac:dyDescent="0.25">
      <c r="B149" s="2"/>
      <c r="C149" s="2"/>
      <c r="D149" s="3"/>
      <c r="E149" s="3"/>
      <c r="F149" s="65"/>
      <c r="G149" s="3"/>
      <c r="H149" s="3"/>
      <c r="I149" s="65"/>
    </row>
    <row r="150" spans="2:9" x14ac:dyDescent="0.25">
      <c r="B150" s="2"/>
      <c r="C150" s="2"/>
      <c r="D150" s="3"/>
      <c r="E150" s="3"/>
      <c r="F150" s="65"/>
      <c r="G150" s="3"/>
      <c r="H150" s="3"/>
      <c r="I150" s="65"/>
    </row>
    <row r="151" spans="2:9" x14ac:dyDescent="0.25">
      <c r="B151" s="2"/>
      <c r="C151" s="2"/>
      <c r="D151" s="3"/>
      <c r="E151" s="3"/>
      <c r="F151" s="65"/>
      <c r="G151" s="3"/>
      <c r="H151" s="3"/>
      <c r="I151" s="65"/>
    </row>
    <row r="152" spans="2:9" x14ac:dyDescent="0.25">
      <c r="B152" s="2"/>
      <c r="C152" s="2"/>
      <c r="D152" s="3"/>
      <c r="E152" s="3"/>
      <c r="F152" s="65"/>
      <c r="G152" s="3"/>
      <c r="H152" s="3"/>
      <c r="I152" s="65"/>
    </row>
    <row r="153" spans="2:9" x14ac:dyDescent="0.25">
      <c r="B153" s="2"/>
      <c r="C153" s="2"/>
      <c r="D153" s="3"/>
      <c r="E153" s="3"/>
      <c r="F153" s="65"/>
      <c r="G153" s="3"/>
      <c r="H153" s="3"/>
      <c r="I153" s="65"/>
    </row>
    <row r="154" spans="2:9" x14ac:dyDescent="0.25">
      <c r="B154" s="2"/>
      <c r="C154" s="2"/>
      <c r="D154" s="3"/>
      <c r="E154" s="3"/>
      <c r="F154" s="65"/>
      <c r="G154" s="3"/>
      <c r="H154" s="3"/>
      <c r="I154" s="65"/>
    </row>
    <row r="155" spans="2:9" x14ac:dyDescent="0.25">
      <c r="B155" s="2"/>
      <c r="C155" s="2"/>
      <c r="D155" s="3"/>
      <c r="E155" s="3"/>
      <c r="F155" s="65"/>
      <c r="G155" s="3"/>
      <c r="H155" s="3"/>
      <c r="I155" s="65"/>
    </row>
    <row r="156" spans="2:9" x14ac:dyDescent="0.25">
      <c r="B156" s="2"/>
      <c r="C156" s="2"/>
      <c r="D156" s="3"/>
      <c r="E156" s="3"/>
      <c r="F156" s="65"/>
      <c r="G156" s="3"/>
      <c r="H156" s="3"/>
      <c r="I156" s="65"/>
    </row>
    <row r="157" spans="2:9" x14ac:dyDescent="0.25">
      <c r="B157" s="2"/>
      <c r="C157" s="2"/>
      <c r="D157" s="3"/>
      <c r="E157" s="3"/>
      <c r="F157" s="65"/>
      <c r="G157" s="3"/>
      <c r="H157" s="3"/>
      <c r="I157" s="65"/>
    </row>
    <row r="158" spans="2:9" x14ac:dyDescent="0.25">
      <c r="B158" s="2"/>
      <c r="C158" s="2"/>
      <c r="D158" s="3"/>
      <c r="E158" s="3"/>
      <c r="F158" s="65"/>
      <c r="G158" s="3"/>
      <c r="H158" s="3"/>
      <c r="I158" s="65"/>
    </row>
    <row r="159" spans="2:9" x14ac:dyDescent="0.25">
      <c r="B159" s="2"/>
      <c r="C159" s="2"/>
      <c r="D159" s="3"/>
      <c r="E159" s="3"/>
      <c r="F159" s="65"/>
      <c r="G159" s="3"/>
      <c r="H159" s="3"/>
      <c r="I159" s="65"/>
    </row>
    <row r="160" spans="2:9" x14ac:dyDescent="0.25">
      <c r="B160" s="2"/>
      <c r="C160" s="2"/>
      <c r="D160" s="3"/>
      <c r="E160" s="3"/>
      <c r="F160" s="65"/>
      <c r="G160" s="3"/>
      <c r="H160" s="3"/>
      <c r="I160" s="65"/>
    </row>
    <row r="161" spans="2:9" x14ac:dyDescent="0.25">
      <c r="B161" s="2"/>
      <c r="C161" s="2"/>
      <c r="D161" s="3"/>
      <c r="E161" s="3"/>
      <c r="F161" s="65"/>
      <c r="G161" s="3"/>
      <c r="H161" s="3"/>
      <c r="I161" s="65"/>
    </row>
    <row r="162" spans="2:9" x14ac:dyDescent="0.25">
      <c r="B162" s="2"/>
      <c r="C162" s="2"/>
      <c r="D162" s="3"/>
      <c r="E162" s="3"/>
      <c r="F162" s="65"/>
      <c r="G162" s="3"/>
      <c r="H162" s="3"/>
      <c r="I162" s="65"/>
    </row>
    <row r="163" spans="2:9" x14ac:dyDescent="0.25">
      <c r="B163" s="2"/>
      <c r="C163" s="2"/>
      <c r="D163" s="3"/>
      <c r="E163" s="3"/>
      <c r="F163" s="65"/>
      <c r="G163" s="3"/>
      <c r="H163" s="3"/>
      <c r="I163" s="65"/>
    </row>
    <row r="164" spans="2:9" x14ac:dyDescent="0.25">
      <c r="B164" s="2"/>
      <c r="C164" s="2"/>
      <c r="D164" s="3"/>
      <c r="E164" s="3"/>
      <c r="F164" s="65"/>
      <c r="G164" s="3"/>
      <c r="H164" s="3"/>
      <c r="I164" s="65"/>
    </row>
    <row r="165" spans="2:9" x14ac:dyDescent="0.25">
      <c r="B165" s="2"/>
      <c r="C165" s="2"/>
      <c r="D165" s="3"/>
      <c r="E165" s="3"/>
      <c r="F165" s="65"/>
      <c r="G165" s="3"/>
      <c r="H165" s="3"/>
      <c r="I165" s="65"/>
    </row>
    <row r="166" spans="2:9" x14ac:dyDescent="0.25">
      <c r="B166" s="2"/>
      <c r="C166" s="2"/>
      <c r="D166" s="3"/>
      <c r="E166" s="3"/>
      <c r="F166" s="65"/>
      <c r="G166" s="3"/>
      <c r="H166" s="3"/>
      <c r="I166" s="65"/>
    </row>
    <row r="167" spans="2:9" x14ac:dyDescent="0.25">
      <c r="B167" s="2"/>
      <c r="C167" s="2"/>
      <c r="D167" s="3"/>
      <c r="E167" s="3"/>
      <c r="F167" s="65"/>
      <c r="G167" s="3"/>
      <c r="H167" s="3"/>
      <c r="I167" s="65"/>
    </row>
    <row r="168" spans="2:9" x14ac:dyDescent="0.25">
      <c r="B168" s="2"/>
      <c r="C168" s="2"/>
      <c r="D168" s="3"/>
      <c r="E168" s="3"/>
      <c r="F168" s="65"/>
      <c r="G168" s="3"/>
      <c r="H168" s="3"/>
      <c r="I168" s="65"/>
    </row>
    <row r="169" spans="2:9" x14ac:dyDescent="0.25">
      <c r="B169" s="2"/>
      <c r="C169" s="2"/>
      <c r="D169" s="3"/>
      <c r="E169" s="3"/>
      <c r="F169" s="65"/>
      <c r="G169" s="3"/>
      <c r="H169" s="3"/>
      <c r="I169" s="65"/>
    </row>
    <row r="170" spans="2:9" x14ac:dyDescent="0.25">
      <c r="B170" s="2"/>
      <c r="C170" s="2"/>
      <c r="D170" s="3"/>
      <c r="E170" s="3"/>
      <c r="F170" s="65"/>
      <c r="G170" s="3"/>
      <c r="H170" s="3"/>
      <c r="I170" s="65"/>
    </row>
    <row r="171" spans="2:9" x14ac:dyDescent="0.25">
      <c r="B171" s="2"/>
      <c r="C171" s="2"/>
      <c r="D171" s="3"/>
      <c r="E171" s="3"/>
      <c r="F171" s="65"/>
      <c r="G171" s="3"/>
      <c r="H171" s="3"/>
      <c r="I171" s="65"/>
    </row>
    <row r="172" spans="2:9" x14ac:dyDescent="0.25">
      <c r="B172" s="2"/>
      <c r="C172" s="2"/>
      <c r="D172" s="3"/>
      <c r="E172" s="3"/>
      <c r="F172" s="65"/>
      <c r="G172" s="3"/>
      <c r="H172" s="3"/>
      <c r="I172" s="65"/>
    </row>
    <row r="173" spans="2:9" x14ac:dyDescent="0.25">
      <c r="B173" s="2"/>
      <c r="C173" s="2"/>
      <c r="D173" s="3"/>
      <c r="E173" s="3"/>
      <c r="F173" s="65"/>
      <c r="G173" s="3"/>
      <c r="H173" s="3"/>
      <c r="I173" s="65"/>
    </row>
    <row r="174" spans="2:9" x14ac:dyDescent="0.25">
      <c r="B174" s="2"/>
      <c r="C174" s="2"/>
      <c r="D174" s="3"/>
      <c r="E174" s="3"/>
      <c r="F174" s="65"/>
      <c r="G174" s="3"/>
      <c r="H174" s="3"/>
      <c r="I174" s="65"/>
    </row>
    <row r="175" spans="2:9" x14ac:dyDescent="0.25">
      <c r="B175" s="2"/>
      <c r="C175" s="2"/>
      <c r="D175" s="3"/>
      <c r="E175" s="3"/>
      <c r="F175" s="65"/>
      <c r="G175" s="3"/>
      <c r="H175" s="3"/>
      <c r="I175" s="65"/>
    </row>
    <row r="176" spans="2:9" x14ac:dyDescent="0.25">
      <c r="B176" s="2"/>
      <c r="C176" s="2"/>
      <c r="D176" s="3"/>
      <c r="E176" s="3"/>
      <c r="F176" s="65"/>
      <c r="G176" s="3"/>
      <c r="H176" s="3"/>
      <c r="I176" s="65"/>
    </row>
    <row r="177" spans="2:9" x14ac:dyDescent="0.25">
      <c r="B177" s="2"/>
      <c r="C177" s="2"/>
      <c r="D177" s="3"/>
      <c r="E177" s="3"/>
      <c r="F177" s="65"/>
      <c r="G177" s="3"/>
      <c r="H177" s="3"/>
      <c r="I177" s="65"/>
    </row>
    <row r="178" spans="2:9" x14ac:dyDescent="0.25">
      <c r="B178" s="2"/>
      <c r="C178" s="2"/>
      <c r="D178" s="3"/>
      <c r="E178" s="3"/>
      <c r="F178" s="65"/>
      <c r="G178" s="3"/>
      <c r="H178" s="3"/>
      <c r="I178" s="65"/>
    </row>
    <row r="179" spans="2:9" x14ac:dyDescent="0.25">
      <c r="B179" s="2"/>
      <c r="C179" s="2"/>
      <c r="D179" s="3"/>
      <c r="E179" s="3"/>
      <c r="F179" s="65"/>
      <c r="G179" s="3"/>
      <c r="H179" s="3"/>
      <c r="I179" s="65"/>
    </row>
    <row r="180" spans="2:9" x14ac:dyDescent="0.25">
      <c r="B180" s="2"/>
      <c r="C180" s="2"/>
      <c r="D180" s="3"/>
      <c r="E180" s="3"/>
      <c r="F180" s="65"/>
      <c r="G180" s="3"/>
      <c r="H180" s="3"/>
      <c r="I180" s="65"/>
    </row>
    <row r="181" spans="2:9" x14ac:dyDescent="0.25">
      <c r="B181" s="2"/>
      <c r="C181" s="2"/>
      <c r="D181" s="3"/>
      <c r="E181" s="3"/>
      <c r="F181" s="65"/>
      <c r="G181" s="3"/>
      <c r="H181" s="3"/>
      <c r="I181" s="65"/>
    </row>
    <row r="182" spans="2:9" x14ac:dyDescent="0.25">
      <c r="B182" s="2"/>
      <c r="C182" s="2"/>
      <c r="D182" s="3"/>
      <c r="E182" s="3"/>
      <c r="F182" s="65"/>
      <c r="G182" s="3"/>
      <c r="H182" s="3"/>
      <c r="I182" s="65"/>
    </row>
    <row r="183" spans="2:9" x14ac:dyDescent="0.25">
      <c r="B183" s="2"/>
      <c r="C183" s="2"/>
      <c r="D183" s="3"/>
      <c r="E183" s="3"/>
      <c r="F183" s="65"/>
      <c r="G183" s="3"/>
      <c r="H183" s="3"/>
      <c r="I183" s="65"/>
    </row>
    <row r="184" spans="2:9" x14ac:dyDescent="0.25">
      <c r="B184" s="2"/>
      <c r="C184" s="2"/>
      <c r="D184" s="3"/>
      <c r="E184" s="3"/>
      <c r="F184" s="65"/>
      <c r="G184" s="3"/>
      <c r="H184" s="3"/>
      <c r="I184" s="65"/>
    </row>
    <row r="185" spans="2:9" x14ac:dyDescent="0.25">
      <c r="B185" s="2"/>
      <c r="C185" s="2"/>
      <c r="D185" s="3"/>
      <c r="E185" s="3"/>
      <c r="F185" s="65"/>
      <c r="G185" s="3"/>
      <c r="H185" s="3"/>
      <c r="I185" s="65"/>
    </row>
    <row r="186" spans="2:9" x14ac:dyDescent="0.25">
      <c r="B186" s="2"/>
      <c r="C186" s="2"/>
      <c r="D186" s="3"/>
      <c r="E186" s="3"/>
      <c r="F186" s="65"/>
      <c r="G186" s="3"/>
      <c r="H186" s="3"/>
      <c r="I186" s="65"/>
    </row>
    <row r="187" spans="2:9" x14ac:dyDescent="0.25">
      <c r="B187" s="2"/>
      <c r="C187" s="2"/>
      <c r="D187" s="3"/>
      <c r="E187" s="3"/>
      <c r="F187" s="65"/>
      <c r="G187" s="3"/>
      <c r="H187" s="3"/>
      <c r="I187" s="65"/>
    </row>
    <row r="188" spans="2:9" x14ac:dyDescent="0.25">
      <c r="B188" s="2"/>
      <c r="C188" s="2"/>
      <c r="D188" s="3"/>
      <c r="E188" s="3"/>
      <c r="F188" s="65"/>
      <c r="G188" s="3"/>
      <c r="H188" s="3"/>
      <c r="I188" s="65"/>
    </row>
    <row r="189" spans="2:9" x14ac:dyDescent="0.25">
      <c r="B189" s="2"/>
      <c r="C189" s="2"/>
      <c r="D189" s="3"/>
      <c r="E189" s="3"/>
      <c r="F189" s="65"/>
      <c r="G189" s="3"/>
      <c r="H189" s="3"/>
      <c r="I189" s="65"/>
    </row>
    <row r="190" spans="2:9" x14ac:dyDescent="0.25">
      <c r="B190" s="2"/>
      <c r="C190" s="2"/>
      <c r="D190" s="3"/>
      <c r="E190" s="3"/>
      <c r="F190" s="65"/>
      <c r="G190" s="3"/>
      <c r="H190" s="3"/>
      <c r="I190" s="65"/>
    </row>
    <row r="191" spans="2:9" x14ac:dyDescent="0.25">
      <c r="B191" s="2"/>
      <c r="C191" s="2"/>
      <c r="D191" s="3"/>
      <c r="E191" s="3"/>
      <c r="F191" s="65"/>
      <c r="G191" s="3"/>
      <c r="H191" s="3"/>
      <c r="I191" s="65"/>
    </row>
    <row r="192" spans="2:9" x14ac:dyDescent="0.25">
      <c r="B192" s="2"/>
      <c r="C192" s="2"/>
      <c r="D192" s="3"/>
      <c r="E192" s="3"/>
      <c r="F192" s="65"/>
      <c r="G192" s="3"/>
      <c r="H192" s="3"/>
      <c r="I192" s="65"/>
    </row>
    <row r="193" spans="2:9" x14ac:dyDescent="0.25">
      <c r="B193" s="2"/>
      <c r="C193" s="2"/>
      <c r="D193" s="3"/>
      <c r="E193" s="3"/>
      <c r="F193" s="65"/>
      <c r="G193" s="3"/>
      <c r="H193" s="3"/>
      <c r="I193" s="65"/>
    </row>
    <row r="194" spans="2:9" x14ac:dyDescent="0.25">
      <c r="B194" s="2"/>
      <c r="C194" s="2"/>
      <c r="D194" s="3"/>
      <c r="E194" s="3"/>
      <c r="F194" s="65"/>
      <c r="G194" s="3"/>
      <c r="H194" s="3"/>
      <c r="I194" s="65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9652777777777778" top="0.59027777777777779" bottom="0.51180555555555551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T38"/>
  <sheetViews>
    <sheetView view="pageBreakPreview" zoomScale="80" zoomScaleSheetLayoutView="80" workbookViewId="0">
      <selection activeCell="L42" sqref="L42"/>
    </sheetView>
  </sheetViews>
  <sheetFormatPr defaultRowHeight="15" x14ac:dyDescent="0.25"/>
  <cols>
    <col min="1" max="1" width="5.42578125" style="106" customWidth="1"/>
    <col min="2" max="2" width="55.7109375" style="109" customWidth="1"/>
    <col min="3" max="3" width="7.85546875" style="106" bestFit="1" customWidth="1"/>
    <col min="4" max="4" width="8" style="106" bestFit="1" customWidth="1"/>
    <col min="5" max="5" width="7.85546875" style="106" bestFit="1" customWidth="1"/>
    <col min="6" max="6" width="8" style="106" bestFit="1" customWidth="1"/>
    <col min="7" max="7" width="7.85546875" style="106" bestFit="1" customWidth="1"/>
    <col min="8" max="8" width="8" style="106" bestFit="1" customWidth="1"/>
    <col min="9" max="9" width="7.85546875" style="106" bestFit="1" customWidth="1"/>
    <col min="10" max="10" width="8" style="106" bestFit="1" customWidth="1"/>
    <col min="11" max="11" width="7.85546875" style="106" bestFit="1" customWidth="1"/>
    <col min="12" max="12" width="8" style="106" bestFit="1" customWidth="1"/>
    <col min="13" max="13" width="7.85546875" style="106" bestFit="1" customWidth="1"/>
    <col min="14" max="14" width="8" style="106" bestFit="1" customWidth="1"/>
    <col min="15" max="15" width="7.85546875" style="106" bestFit="1" customWidth="1"/>
    <col min="16" max="16" width="8" style="106" bestFit="1" customWidth="1"/>
    <col min="17" max="17" width="7.85546875" style="106" bestFit="1" customWidth="1"/>
    <col min="18" max="18" width="8" style="106" bestFit="1" customWidth="1"/>
    <col min="19" max="19" width="7.85546875" style="106" bestFit="1" customWidth="1"/>
    <col min="20" max="20" width="9.140625" style="106" customWidth="1"/>
    <col min="21" max="16384" width="9.140625" style="106"/>
  </cols>
  <sheetData>
    <row r="1" spans="1:20" ht="25.5" customHeight="1" x14ac:dyDescent="0.3">
      <c r="B1" s="577" t="s">
        <v>767</v>
      </c>
      <c r="C1" s="577"/>
      <c r="D1" s="577"/>
      <c r="E1" s="577"/>
      <c r="F1" s="577"/>
      <c r="G1" s="577"/>
      <c r="H1" s="577"/>
      <c r="I1" s="577"/>
      <c r="J1" s="577"/>
      <c r="K1" s="109"/>
      <c r="L1" s="109"/>
      <c r="M1" s="109"/>
      <c r="T1" s="4" t="s">
        <v>603</v>
      </c>
    </row>
    <row r="2" spans="1:20" ht="23.25" customHeight="1" x14ac:dyDescent="0.35">
      <c r="B2" s="7" t="s">
        <v>604</v>
      </c>
      <c r="C2" s="7"/>
      <c r="D2" s="7"/>
      <c r="E2" s="7"/>
      <c r="F2" s="7"/>
      <c r="G2" s="7"/>
      <c r="H2" s="7"/>
      <c r="I2" s="7"/>
      <c r="J2" s="7"/>
      <c r="K2" s="188"/>
      <c r="L2" s="188"/>
      <c r="M2" s="188"/>
      <c r="T2" s="5" t="s">
        <v>808</v>
      </c>
    </row>
    <row r="4" spans="1:20" x14ac:dyDescent="0.25">
      <c r="B4" s="189" t="s">
        <v>605</v>
      </c>
      <c r="C4" s="189"/>
      <c r="D4" s="189"/>
    </row>
    <row r="5" spans="1:20" x14ac:dyDescent="0.25">
      <c r="C5" s="189"/>
      <c r="D5" s="189"/>
    </row>
    <row r="6" spans="1:20" ht="33" customHeight="1" x14ac:dyDescent="0.25">
      <c r="C6" s="305" t="s">
        <v>535</v>
      </c>
      <c r="D6" s="305" t="s">
        <v>765</v>
      </c>
      <c r="E6" s="305" t="s">
        <v>535</v>
      </c>
      <c r="F6" s="305" t="s">
        <v>765</v>
      </c>
      <c r="G6" s="305" t="s">
        <v>535</v>
      </c>
      <c r="H6" s="305" t="s">
        <v>765</v>
      </c>
      <c r="I6" s="305" t="s">
        <v>535</v>
      </c>
      <c r="J6" s="305" t="s">
        <v>765</v>
      </c>
      <c r="K6" s="305" t="s">
        <v>535</v>
      </c>
      <c r="L6" s="305" t="s">
        <v>765</v>
      </c>
      <c r="M6" s="305" t="s">
        <v>535</v>
      </c>
      <c r="N6" s="305" t="s">
        <v>765</v>
      </c>
      <c r="O6" s="305" t="s">
        <v>535</v>
      </c>
      <c r="P6" s="305" t="s">
        <v>765</v>
      </c>
      <c r="Q6" s="305" t="s">
        <v>535</v>
      </c>
      <c r="R6" s="305" t="s">
        <v>765</v>
      </c>
      <c r="S6" s="305" t="s">
        <v>535</v>
      </c>
      <c r="T6" s="305" t="s">
        <v>765</v>
      </c>
    </row>
    <row r="7" spans="1:20" s="191" customFormat="1" ht="75.75" customHeight="1" x14ac:dyDescent="0.2">
      <c r="A7" s="190" t="s">
        <v>606</v>
      </c>
      <c r="B7" s="299" t="s">
        <v>607</v>
      </c>
      <c r="C7" s="598" t="s">
        <v>608</v>
      </c>
      <c r="D7" s="599"/>
      <c r="E7" s="598" t="s">
        <v>0</v>
      </c>
      <c r="F7" s="599"/>
      <c r="G7" s="598" t="s">
        <v>2</v>
      </c>
      <c r="H7" s="599"/>
      <c r="I7" s="598" t="s">
        <v>3</v>
      </c>
      <c r="J7" s="599"/>
      <c r="K7" s="598" t="s">
        <v>4</v>
      </c>
      <c r="L7" s="599"/>
      <c r="M7" s="598" t="s">
        <v>5</v>
      </c>
      <c r="N7" s="599"/>
      <c r="O7" s="598" t="s">
        <v>600</v>
      </c>
      <c r="P7" s="599"/>
      <c r="Q7" s="598" t="s">
        <v>1</v>
      </c>
      <c r="R7" s="599"/>
      <c r="S7" s="600" t="s">
        <v>766</v>
      </c>
      <c r="T7" s="600"/>
    </row>
    <row r="8" spans="1:20" s="122" customFormat="1" ht="15" customHeight="1" x14ac:dyDescent="0.2">
      <c r="A8" s="130">
        <v>1</v>
      </c>
      <c r="B8" s="300" t="s">
        <v>609</v>
      </c>
      <c r="C8" s="250"/>
      <c r="D8" s="250"/>
      <c r="E8" s="250">
        <v>2</v>
      </c>
      <c r="F8" s="250">
        <v>2</v>
      </c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306">
        <f t="shared" ref="S8:T11" si="0">+C8+E8+G8+I8+K8+M8+O8+Q8</f>
        <v>2</v>
      </c>
      <c r="T8" s="306">
        <f t="shared" si="0"/>
        <v>2</v>
      </c>
    </row>
    <row r="9" spans="1:20" s="122" customFormat="1" ht="15" customHeight="1" x14ac:dyDescent="0.2">
      <c r="A9" s="130">
        <v>2</v>
      </c>
      <c r="B9" s="300" t="s">
        <v>610</v>
      </c>
      <c r="C9" s="250"/>
      <c r="D9" s="250"/>
      <c r="E9" s="250">
        <v>18</v>
      </c>
      <c r="F9" s="250">
        <v>18</v>
      </c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306">
        <f t="shared" si="0"/>
        <v>18</v>
      </c>
      <c r="T9" s="306">
        <f t="shared" si="0"/>
        <v>18</v>
      </c>
    </row>
    <row r="10" spans="1:20" s="122" customFormat="1" ht="15" customHeight="1" x14ac:dyDescent="0.2">
      <c r="A10" s="130">
        <v>3</v>
      </c>
      <c r="B10" s="300" t="s">
        <v>611</v>
      </c>
      <c r="C10" s="250"/>
      <c r="D10" s="250"/>
      <c r="E10" s="250">
        <v>15</v>
      </c>
      <c r="F10" s="250">
        <v>15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306">
        <f t="shared" si="0"/>
        <v>15</v>
      </c>
      <c r="T10" s="306">
        <f t="shared" si="0"/>
        <v>15</v>
      </c>
    </row>
    <row r="11" spans="1:20" s="122" customFormat="1" ht="15" customHeight="1" x14ac:dyDescent="0.2">
      <c r="A11" s="130">
        <v>4</v>
      </c>
      <c r="B11" s="300" t="s">
        <v>612</v>
      </c>
      <c r="C11" s="250"/>
      <c r="D11" s="250"/>
      <c r="E11" s="250">
        <v>1</v>
      </c>
      <c r="F11" s="250">
        <v>1</v>
      </c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306">
        <f t="shared" si="0"/>
        <v>1</v>
      </c>
      <c r="T11" s="306">
        <f t="shared" si="0"/>
        <v>1</v>
      </c>
    </row>
    <row r="12" spans="1:20" s="140" customFormat="1" ht="24.75" customHeight="1" x14ac:dyDescent="0.2">
      <c r="A12" s="192">
        <v>5</v>
      </c>
      <c r="B12" s="301" t="s">
        <v>613</v>
      </c>
      <c r="C12" s="307">
        <f t="shared" ref="C12:T12" si="1">SUM(C8:C11)</f>
        <v>0</v>
      </c>
      <c r="D12" s="307">
        <f t="shared" si="1"/>
        <v>0</v>
      </c>
      <c r="E12" s="307">
        <f t="shared" si="1"/>
        <v>36</v>
      </c>
      <c r="F12" s="307">
        <f t="shared" si="1"/>
        <v>36</v>
      </c>
      <c r="G12" s="307">
        <f t="shared" si="1"/>
        <v>0</v>
      </c>
      <c r="H12" s="307">
        <f t="shared" si="1"/>
        <v>0</v>
      </c>
      <c r="I12" s="307">
        <f t="shared" si="1"/>
        <v>0</v>
      </c>
      <c r="J12" s="307">
        <f t="shared" si="1"/>
        <v>0</v>
      </c>
      <c r="K12" s="307">
        <f t="shared" si="1"/>
        <v>0</v>
      </c>
      <c r="L12" s="307">
        <f t="shared" si="1"/>
        <v>0</v>
      </c>
      <c r="M12" s="307">
        <f t="shared" si="1"/>
        <v>0</v>
      </c>
      <c r="N12" s="307">
        <f t="shared" si="1"/>
        <v>0</v>
      </c>
      <c r="O12" s="307">
        <f t="shared" si="1"/>
        <v>0</v>
      </c>
      <c r="P12" s="307">
        <f t="shared" si="1"/>
        <v>0</v>
      </c>
      <c r="Q12" s="307">
        <f t="shared" si="1"/>
        <v>0</v>
      </c>
      <c r="R12" s="307">
        <f t="shared" si="1"/>
        <v>0</v>
      </c>
      <c r="S12" s="307">
        <f t="shared" si="1"/>
        <v>36</v>
      </c>
      <c r="T12" s="307">
        <f t="shared" si="1"/>
        <v>36</v>
      </c>
    </row>
    <row r="13" spans="1:20" s="122" customFormat="1" ht="15" customHeight="1" x14ac:dyDescent="0.2">
      <c r="A13" s="130">
        <v>6</v>
      </c>
      <c r="B13" s="300" t="s">
        <v>614</v>
      </c>
      <c r="C13" s="250"/>
      <c r="D13" s="250"/>
      <c r="E13" s="250"/>
      <c r="F13" s="250"/>
      <c r="G13" s="250">
        <v>1</v>
      </c>
      <c r="H13" s="250">
        <v>1</v>
      </c>
      <c r="I13" s="250">
        <v>3</v>
      </c>
      <c r="J13" s="250">
        <v>3</v>
      </c>
      <c r="K13" s="250"/>
      <c r="L13" s="250"/>
      <c r="M13" s="250">
        <v>1</v>
      </c>
      <c r="N13" s="250">
        <v>1</v>
      </c>
      <c r="O13" s="250">
        <v>1</v>
      </c>
      <c r="P13" s="250">
        <v>1</v>
      </c>
      <c r="Q13" s="250">
        <v>1</v>
      </c>
      <c r="R13" s="250">
        <v>1</v>
      </c>
      <c r="S13" s="306">
        <f t="shared" ref="S13:S23" si="2">+C13+E13+G13+I13+K13+M13+O13+Q13</f>
        <v>7</v>
      </c>
      <c r="T13" s="306">
        <f t="shared" ref="T13:T23" si="3">+D13+F13+H13+J13+L13+N13+P13+R13</f>
        <v>7</v>
      </c>
    </row>
    <row r="14" spans="1:20" s="122" customFormat="1" ht="27.75" customHeight="1" x14ac:dyDescent="0.2">
      <c r="A14" s="130">
        <v>7</v>
      </c>
      <c r="B14" s="300" t="s">
        <v>615</v>
      </c>
      <c r="C14" s="250"/>
      <c r="D14" s="250"/>
      <c r="E14" s="250"/>
      <c r="F14" s="250"/>
      <c r="G14" s="250">
        <v>1</v>
      </c>
      <c r="H14" s="250">
        <v>1</v>
      </c>
      <c r="I14" s="250">
        <v>1</v>
      </c>
      <c r="J14" s="250">
        <v>1</v>
      </c>
      <c r="K14" s="250">
        <v>1</v>
      </c>
      <c r="L14" s="250">
        <v>1</v>
      </c>
      <c r="M14" s="250"/>
      <c r="N14" s="250"/>
      <c r="O14" s="250"/>
      <c r="P14" s="250"/>
      <c r="Q14" s="250">
        <v>3</v>
      </c>
      <c r="R14" s="250">
        <v>3</v>
      </c>
      <c r="S14" s="306">
        <f t="shared" si="2"/>
        <v>6</v>
      </c>
      <c r="T14" s="306">
        <f t="shared" si="3"/>
        <v>6</v>
      </c>
    </row>
    <row r="15" spans="1:20" s="122" customFormat="1" ht="15" customHeight="1" x14ac:dyDescent="0.2">
      <c r="A15" s="130">
        <v>8</v>
      </c>
      <c r="B15" s="300" t="s">
        <v>616</v>
      </c>
      <c r="C15" s="250"/>
      <c r="D15" s="250"/>
      <c r="E15" s="250"/>
      <c r="F15" s="250"/>
      <c r="G15" s="250"/>
      <c r="H15" s="250"/>
      <c r="I15" s="250">
        <v>16</v>
      </c>
      <c r="J15" s="250">
        <v>16</v>
      </c>
      <c r="K15" s="250"/>
      <c r="L15" s="250"/>
      <c r="M15" s="250"/>
      <c r="N15" s="250"/>
      <c r="O15" s="250"/>
      <c r="P15" s="250"/>
      <c r="Q15" s="250"/>
      <c r="R15" s="250"/>
      <c r="S15" s="306">
        <f t="shared" si="2"/>
        <v>16</v>
      </c>
      <c r="T15" s="306">
        <f t="shared" si="3"/>
        <v>16</v>
      </c>
    </row>
    <row r="16" spans="1:20" s="122" customFormat="1" ht="15" customHeight="1" x14ac:dyDescent="0.2">
      <c r="A16" s="130">
        <v>9</v>
      </c>
      <c r="B16" s="300" t="s">
        <v>617</v>
      </c>
      <c r="C16" s="250"/>
      <c r="D16" s="250"/>
      <c r="E16" s="250"/>
      <c r="F16" s="250"/>
      <c r="G16" s="250"/>
      <c r="H16" s="250"/>
      <c r="I16" s="250"/>
      <c r="J16" s="250"/>
      <c r="K16" s="250">
        <v>3</v>
      </c>
      <c r="L16" s="250">
        <v>3</v>
      </c>
      <c r="M16" s="250"/>
      <c r="N16" s="250"/>
      <c r="O16" s="250"/>
      <c r="P16" s="250"/>
      <c r="Q16" s="250"/>
      <c r="R16" s="250"/>
      <c r="S16" s="306">
        <f t="shared" si="2"/>
        <v>3</v>
      </c>
      <c r="T16" s="306">
        <f t="shared" si="3"/>
        <v>3</v>
      </c>
    </row>
    <row r="17" spans="1:20" s="122" customFormat="1" ht="15" customHeight="1" x14ac:dyDescent="0.2">
      <c r="A17" s="130">
        <v>10</v>
      </c>
      <c r="B17" s="300" t="s">
        <v>618</v>
      </c>
      <c r="C17" s="250"/>
      <c r="D17" s="250"/>
      <c r="E17" s="250"/>
      <c r="F17" s="250"/>
      <c r="G17" s="250"/>
      <c r="H17" s="250"/>
      <c r="I17" s="250"/>
      <c r="J17" s="250"/>
      <c r="K17" s="250">
        <v>17</v>
      </c>
      <c r="L17" s="250">
        <v>17</v>
      </c>
      <c r="M17" s="250"/>
      <c r="N17" s="250"/>
      <c r="O17" s="250"/>
      <c r="P17" s="250"/>
      <c r="Q17" s="250"/>
      <c r="R17" s="250"/>
      <c r="S17" s="306">
        <f t="shared" si="2"/>
        <v>17</v>
      </c>
      <c r="T17" s="306">
        <f t="shared" si="3"/>
        <v>17</v>
      </c>
    </row>
    <row r="18" spans="1:20" s="122" customFormat="1" ht="15" customHeight="1" x14ac:dyDescent="0.2">
      <c r="A18" s="130">
        <v>11</v>
      </c>
      <c r="B18" s="300" t="s">
        <v>619</v>
      </c>
      <c r="C18" s="250"/>
      <c r="D18" s="250"/>
      <c r="E18" s="250"/>
      <c r="F18" s="250"/>
      <c r="G18" s="250"/>
      <c r="H18" s="250"/>
      <c r="I18" s="250"/>
      <c r="J18" s="250"/>
      <c r="K18" s="250">
        <v>3</v>
      </c>
      <c r="L18" s="250">
        <v>3</v>
      </c>
      <c r="M18" s="250"/>
      <c r="N18" s="250"/>
      <c r="O18" s="250"/>
      <c r="P18" s="250"/>
      <c r="Q18" s="250"/>
      <c r="R18" s="250"/>
      <c r="S18" s="306">
        <f t="shared" si="2"/>
        <v>3</v>
      </c>
      <c r="T18" s="306">
        <f t="shared" si="3"/>
        <v>3</v>
      </c>
    </row>
    <row r="19" spans="1:20" s="122" customFormat="1" ht="15" customHeight="1" x14ac:dyDescent="0.2">
      <c r="A19" s="130">
        <v>12</v>
      </c>
      <c r="B19" s="300" t="s">
        <v>620</v>
      </c>
      <c r="C19" s="250"/>
      <c r="D19" s="250"/>
      <c r="E19" s="250"/>
      <c r="F19" s="250"/>
      <c r="G19" s="250"/>
      <c r="H19" s="250"/>
      <c r="I19" s="250"/>
      <c r="J19" s="250"/>
      <c r="K19" s="250">
        <v>1</v>
      </c>
      <c r="L19" s="250">
        <v>1</v>
      </c>
      <c r="M19" s="250"/>
      <c r="N19" s="250"/>
      <c r="O19" s="250"/>
      <c r="P19" s="250"/>
      <c r="Q19" s="250"/>
      <c r="R19" s="250"/>
      <c r="S19" s="306">
        <f t="shared" si="2"/>
        <v>1</v>
      </c>
      <c r="T19" s="306">
        <f t="shared" si="3"/>
        <v>1</v>
      </c>
    </row>
    <row r="20" spans="1:20" s="122" customFormat="1" ht="15" customHeight="1" x14ac:dyDescent="0.2">
      <c r="A20" s="130">
        <v>13</v>
      </c>
      <c r="B20" s="300" t="s">
        <v>621</v>
      </c>
      <c r="C20" s="250"/>
      <c r="D20" s="250"/>
      <c r="E20" s="250"/>
      <c r="F20" s="250"/>
      <c r="G20" s="250">
        <v>6</v>
      </c>
      <c r="H20" s="250">
        <v>6</v>
      </c>
      <c r="I20" s="250">
        <v>24</v>
      </c>
      <c r="J20" s="250">
        <v>24</v>
      </c>
      <c r="K20" s="250">
        <v>45</v>
      </c>
      <c r="L20" s="250">
        <v>45</v>
      </c>
      <c r="M20" s="250">
        <v>1</v>
      </c>
      <c r="N20" s="250">
        <v>1</v>
      </c>
      <c r="O20" s="250">
        <v>2</v>
      </c>
      <c r="P20" s="250">
        <v>2</v>
      </c>
      <c r="Q20" s="250">
        <v>29</v>
      </c>
      <c r="R20" s="250">
        <v>29</v>
      </c>
      <c r="S20" s="306">
        <f t="shared" si="2"/>
        <v>107</v>
      </c>
      <c r="T20" s="306">
        <f t="shared" si="3"/>
        <v>107</v>
      </c>
    </row>
    <row r="21" spans="1:20" s="122" customFormat="1" ht="15" customHeight="1" x14ac:dyDescent="0.2">
      <c r="A21" s="130">
        <v>14</v>
      </c>
      <c r="B21" s="300" t="s">
        <v>622</v>
      </c>
      <c r="C21" s="250"/>
      <c r="D21" s="250"/>
      <c r="E21" s="250"/>
      <c r="F21" s="250"/>
      <c r="G21" s="250">
        <v>18</v>
      </c>
      <c r="H21" s="250">
        <v>18</v>
      </c>
      <c r="I21" s="250">
        <v>21</v>
      </c>
      <c r="J21" s="250">
        <v>21</v>
      </c>
      <c r="K21" s="250">
        <v>19</v>
      </c>
      <c r="L21" s="250">
        <v>19</v>
      </c>
      <c r="M21" s="250"/>
      <c r="N21" s="250"/>
      <c r="O21" s="250">
        <v>4</v>
      </c>
      <c r="P21" s="250">
        <v>4</v>
      </c>
      <c r="Q21" s="250">
        <v>17</v>
      </c>
      <c r="R21" s="250">
        <v>17</v>
      </c>
      <c r="S21" s="306">
        <f t="shared" si="2"/>
        <v>79</v>
      </c>
      <c r="T21" s="306">
        <f t="shared" si="3"/>
        <v>79</v>
      </c>
    </row>
    <row r="22" spans="1:20" s="122" customFormat="1" ht="15" customHeight="1" x14ac:dyDescent="0.2">
      <c r="A22" s="130">
        <v>15</v>
      </c>
      <c r="B22" s="300" t="s">
        <v>623</v>
      </c>
      <c r="C22" s="250"/>
      <c r="D22" s="250"/>
      <c r="E22" s="250"/>
      <c r="F22" s="250"/>
      <c r="G22" s="250">
        <v>31</v>
      </c>
      <c r="H22" s="250">
        <v>31</v>
      </c>
      <c r="I22" s="250">
        <v>44</v>
      </c>
      <c r="J22" s="250">
        <v>44</v>
      </c>
      <c r="K22" s="250">
        <v>8</v>
      </c>
      <c r="L22" s="250">
        <v>8</v>
      </c>
      <c r="M22" s="250">
        <v>5</v>
      </c>
      <c r="N22" s="250">
        <v>5</v>
      </c>
      <c r="O22" s="250">
        <v>3</v>
      </c>
      <c r="P22" s="250">
        <v>3</v>
      </c>
      <c r="Q22" s="250"/>
      <c r="R22" s="250"/>
      <c r="S22" s="306">
        <f t="shared" si="2"/>
        <v>91</v>
      </c>
      <c r="T22" s="306">
        <f t="shared" si="3"/>
        <v>91</v>
      </c>
    </row>
    <row r="23" spans="1:20" s="122" customFormat="1" ht="15" customHeight="1" x14ac:dyDescent="0.2">
      <c r="A23" s="130">
        <v>16</v>
      </c>
      <c r="B23" s="300" t="s">
        <v>624</v>
      </c>
      <c r="C23" s="250"/>
      <c r="D23" s="250"/>
      <c r="E23" s="250"/>
      <c r="F23" s="250"/>
      <c r="G23" s="250"/>
      <c r="H23" s="250"/>
      <c r="I23" s="250"/>
      <c r="J23" s="250"/>
      <c r="K23" s="250">
        <v>5</v>
      </c>
      <c r="L23" s="250">
        <v>5</v>
      </c>
      <c r="M23" s="250"/>
      <c r="N23" s="250"/>
      <c r="O23" s="250"/>
      <c r="P23" s="250"/>
      <c r="Q23" s="250"/>
      <c r="R23" s="250"/>
      <c r="S23" s="306">
        <f t="shared" si="2"/>
        <v>5</v>
      </c>
      <c r="T23" s="306">
        <f t="shared" si="3"/>
        <v>5</v>
      </c>
    </row>
    <row r="24" spans="1:20" s="140" customFormat="1" ht="15" customHeight="1" x14ac:dyDescent="0.2">
      <c r="A24" s="248">
        <v>17</v>
      </c>
      <c r="B24" s="302" t="s">
        <v>625</v>
      </c>
      <c r="C24" s="307">
        <f t="shared" ref="C24:T24" si="4">SUM(C13:C23)</f>
        <v>0</v>
      </c>
      <c r="D24" s="307">
        <f t="shared" si="4"/>
        <v>0</v>
      </c>
      <c r="E24" s="307">
        <f t="shared" si="4"/>
        <v>0</v>
      </c>
      <c r="F24" s="307">
        <f t="shared" si="4"/>
        <v>0</v>
      </c>
      <c r="G24" s="307">
        <f t="shared" si="4"/>
        <v>57</v>
      </c>
      <c r="H24" s="307">
        <f t="shared" si="4"/>
        <v>57</v>
      </c>
      <c r="I24" s="307">
        <f t="shared" si="4"/>
        <v>109</v>
      </c>
      <c r="J24" s="307">
        <f t="shared" si="4"/>
        <v>109</v>
      </c>
      <c r="K24" s="307">
        <f t="shared" si="4"/>
        <v>102</v>
      </c>
      <c r="L24" s="307">
        <f t="shared" si="4"/>
        <v>102</v>
      </c>
      <c r="M24" s="307">
        <f t="shared" si="4"/>
        <v>7</v>
      </c>
      <c r="N24" s="307">
        <f t="shared" si="4"/>
        <v>7</v>
      </c>
      <c r="O24" s="307">
        <f t="shared" si="4"/>
        <v>10</v>
      </c>
      <c r="P24" s="307">
        <f t="shared" si="4"/>
        <v>10</v>
      </c>
      <c r="Q24" s="307">
        <f t="shared" si="4"/>
        <v>50</v>
      </c>
      <c r="R24" s="307">
        <f t="shared" si="4"/>
        <v>50</v>
      </c>
      <c r="S24" s="307">
        <f t="shared" si="4"/>
        <v>335</v>
      </c>
      <c r="T24" s="307">
        <f t="shared" si="4"/>
        <v>335</v>
      </c>
    </row>
    <row r="25" spans="1:20" s="122" customFormat="1" ht="31.5" x14ac:dyDescent="0.2">
      <c r="A25" s="473">
        <v>18</v>
      </c>
      <c r="B25" s="303" t="s">
        <v>722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306">
        <f t="shared" ref="S25:T31" si="5">+C25+E25+G25+I25+K25+M25+O25+Q25</f>
        <v>0</v>
      </c>
      <c r="T25" s="306">
        <f t="shared" si="5"/>
        <v>0</v>
      </c>
    </row>
    <row r="26" spans="1:20" s="122" customFormat="1" ht="21" x14ac:dyDescent="0.2">
      <c r="A26" s="473">
        <v>19</v>
      </c>
      <c r="B26" s="303" t="s">
        <v>723</v>
      </c>
      <c r="C26" s="250">
        <v>29</v>
      </c>
      <c r="D26" s="250">
        <v>29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306">
        <f t="shared" si="5"/>
        <v>29</v>
      </c>
      <c r="T26" s="306">
        <f t="shared" si="5"/>
        <v>29</v>
      </c>
    </row>
    <row r="27" spans="1:20" s="122" customFormat="1" ht="21" x14ac:dyDescent="0.2">
      <c r="A27" s="473">
        <v>20</v>
      </c>
      <c r="B27" s="303" t="s">
        <v>724</v>
      </c>
      <c r="C27" s="250">
        <f>3+3+2</f>
        <v>8</v>
      </c>
      <c r="D27" s="250">
        <f>3+3+2</f>
        <v>8</v>
      </c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306">
        <f t="shared" si="5"/>
        <v>8</v>
      </c>
      <c r="T27" s="306">
        <f t="shared" si="5"/>
        <v>8</v>
      </c>
    </row>
    <row r="28" spans="1:20" s="122" customFormat="1" ht="25.5" x14ac:dyDescent="0.2">
      <c r="A28" s="249">
        <v>21</v>
      </c>
      <c r="B28" s="304" t="s">
        <v>626</v>
      </c>
      <c r="C28" s="250">
        <v>1</v>
      </c>
      <c r="D28" s="250">
        <v>1</v>
      </c>
      <c r="E28" s="250">
        <v>9</v>
      </c>
      <c r="F28" s="250">
        <v>9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>
        <v>25</v>
      </c>
      <c r="R28" s="250">
        <v>25</v>
      </c>
      <c r="S28" s="306">
        <f t="shared" si="5"/>
        <v>35</v>
      </c>
      <c r="T28" s="306">
        <f t="shared" si="5"/>
        <v>35</v>
      </c>
    </row>
    <row r="29" spans="1:20" s="122" customFormat="1" ht="15" customHeight="1" x14ac:dyDescent="0.2">
      <c r="A29" s="130">
        <v>22</v>
      </c>
      <c r="B29" s="300" t="s">
        <v>627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306">
        <f t="shared" si="5"/>
        <v>0</v>
      </c>
      <c r="T29" s="306">
        <f t="shared" si="5"/>
        <v>0</v>
      </c>
    </row>
    <row r="30" spans="1:20" s="122" customFormat="1" ht="15" customHeight="1" x14ac:dyDescent="0.2">
      <c r="A30" s="130">
        <v>23</v>
      </c>
      <c r="B30" s="300" t="s">
        <v>628</v>
      </c>
      <c r="C30" s="250"/>
      <c r="D30" s="250"/>
      <c r="E30" s="250">
        <v>3</v>
      </c>
      <c r="F30" s="250">
        <v>3</v>
      </c>
      <c r="G30" s="250">
        <v>3</v>
      </c>
      <c r="H30" s="250">
        <v>3</v>
      </c>
      <c r="I30" s="250">
        <v>0</v>
      </c>
      <c r="J30" s="250">
        <v>0</v>
      </c>
      <c r="K30" s="250">
        <v>12</v>
      </c>
      <c r="L30" s="250">
        <v>12</v>
      </c>
      <c r="M30" s="250">
        <v>4</v>
      </c>
      <c r="N30" s="250">
        <v>4</v>
      </c>
      <c r="O30" s="250">
        <v>2</v>
      </c>
      <c r="P30" s="250">
        <v>2</v>
      </c>
      <c r="Q30" s="250">
        <v>80</v>
      </c>
      <c r="R30" s="250">
        <v>80</v>
      </c>
      <c r="S30" s="306">
        <f t="shared" si="5"/>
        <v>104</v>
      </c>
      <c r="T30" s="306">
        <f t="shared" si="5"/>
        <v>104</v>
      </c>
    </row>
    <row r="31" spans="1:20" s="122" customFormat="1" ht="25.5" x14ac:dyDescent="0.2">
      <c r="A31" s="130">
        <v>24</v>
      </c>
      <c r="B31" s="300" t="s">
        <v>629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>
        <v>0</v>
      </c>
      <c r="R31" s="250">
        <v>0</v>
      </c>
      <c r="S31" s="306">
        <f t="shared" si="5"/>
        <v>0</v>
      </c>
      <c r="T31" s="306">
        <f t="shared" si="5"/>
        <v>0</v>
      </c>
    </row>
    <row r="32" spans="1:20" s="140" customFormat="1" ht="15" customHeight="1" x14ac:dyDescent="0.2">
      <c r="A32" s="192">
        <v>25</v>
      </c>
      <c r="B32" s="301" t="s">
        <v>725</v>
      </c>
      <c r="C32" s="307">
        <f t="shared" ref="C32:T32" si="6">SUM(C25:C31)</f>
        <v>38</v>
      </c>
      <c r="D32" s="307">
        <f t="shared" si="6"/>
        <v>38</v>
      </c>
      <c r="E32" s="307">
        <f t="shared" si="6"/>
        <v>12</v>
      </c>
      <c r="F32" s="307">
        <f t="shared" si="6"/>
        <v>12</v>
      </c>
      <c r="G32" s="307">
        <f t="shared" si="6"/>
        <v>3</v>
      </c>
      <c r="H32" s="307">
        <f t="shared" si="6"/>
        <v>3</v>
      </c>
      <c r="I32" s="307">
        <f t="shared" si="6"/>
        <v>0</v>
      </c>
      <c r="J32" s="307">
        <f t="shared" si="6"/>
        <v>0</v>
      </c>
      <c r="K32" s="307">
        <f t="shared" si="6"/>
        <v>12</v>
      </c>
      <c r="L32" s="307">
        <f t="shared" si="6"/>
        <v>12</v>
      </c>
      <c r="M32" s="307">
        <f t="shared" si="6"/>
        <v>4</v>
      </c>
      <c r="N32" s="307">
        <f t="shared" si="6"/>
        <v>4</v>
      </c>
      <c r="O32" s="307">
        <f t="shared" si="6"/>
        <v>2</v>
      </c>
      <c r="P32" s="307">
        <f t="shared" si="6"/>
        <v>2</v>
      </c>
      <c r="Q32" s="307">
        <f t="shared" si="6"/>
        <v>105</v>
      </c>
      <c r="R32" s="307">
        <f t="shared" si="6"/>
        <v>105</v>
      </c>
      <c r="S32" s="307">
        <f t="shared" si="6"/>
        <v>176</v>
      </c>
      <c r="T32" s="307">
        <f t="shared" si="6"/>
        <v>176</v>
      </c>
    </row>
    <row r="33" spans="1:20" s="122" customFormat="1" ht="12.75" x14ac:dyDescent="0.2">
      <c r="A33" s="130">
        <v>26</v>
      </c>
      <c r="B33" s="300" t="s">
        <v>630</v>
      </c>
      <c r="C33" s="250">
        <v>1</v>
      </c>
      <c r="D33" s="250">
        <v>1</v>
      </c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306">
        <f t="shared" ref="S33:T35" si="7">+C33+E33+G33+I33+K33+M33+O33+Q33</f>
        <v>1</v>
      </c>
      <c r="T33" s="306">
        <f t="shared" si="7"/>
        <v>1</v>
      </c>
    </row>
    <row r="34" spans="1:20" s="122" customFormat="1" ht="12.75" x14ac:dyDescent="0.2">
      <c r="A34" s="130">
        <v>27</v>
      </c>
      <c r="B34" s="300" t="s">
        <v>631</v>
      </c>
      <c r="C34" s="250">
        <v>10</v>
      </c>
      <c r="D34" s="250">
        <v>10</v>
      </c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306">
        <f t="shared" si="7"/>
        <v>10</v>
      </c>
      <c r="T34" s="306">
        <f t="shared" si="7"/>
        <v>10</v>
      </c>
    </row>
    <row r="35" spans="1:20" s="122" customFormat="1" ht="25.5" x14ac:dyDescent="0.2">
      <c r="A35" s="130">
        <v>28</v>
      </c>
      <c r="B35" s="300" t="s">
        <v>632</v>
      </c>
      <c r="C35" s="250">
        <v>1</v>
      </c>
      <c r="D35" s="250">
        <v>1</v>
      </c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306">
        <f t="shared" si="7"/>
        <v>1</v>
      </c>
      <c r="T35" s="306">
        <f t="shared" si="7"/>
        <v>1</v>
      </c>
    </row>
    <row r="36" spans="1:20" s="140" customFormat="1" ht="15" customHeight="1" x14ac:dyDescent="0.2">
      <c r="A36" s="192">
        <v>29</v>
      </c>
      <c r="B36" s="301" t="s">
        <v>726</v>
      </c>
      <c r="C36" s="307">
        <f t="shared" ref="C36" si="8">SUM(C33:C35)</f>
        <v>12</v>
      </c>
      <c r="D36" s="307">
        <f t="shared" ref="D36:T36" si="9">SUM(D33:D35)</f>
        <v>12</v>
      </c>
      <c r="E36" s="307">
        <f t="shared" si="9"/>
        <v>0</v>
      </c>
      <c r="F36" s="307">
        <f t="shared" si="9"/>
        <v>0</v>
      </c>
      <c r="G36" s="307">
        <f t="shared" si="9"/>
        <v>0</v>
      </c>
      <c r="H36" s="307">
        <f t="shared" si="9"/>
        <v>0</v>
      </c>
      <c r="I36" s="307">
        <f t="shared" si="9"/>
        <v>0</v>
      </c>
      <c r="J36" s="307">
        <f t="shared" si="9"/>
        <v>0</v>
      </c>
      <c r="K36" s="307">
        <f t="shared" si="9"/>
        <v>0</v>
      </c>
      <c r="L36" s="307">
        <f t="shared" si="9"/>
        <v>0</v>
      </c>
      <c r="M36" s="307">
        <f t="shared" si="9"/>
        <v>0</v>
      </c>
      <c r="N36" s="307">
        <f t="shared" si="9"/>
        <v>0</v>
      </c>
      <c r="O36" s="307">
        <f t="shared" si="9"/>
        <v>0</v>
      </c>
      <c r="P36" s="307">
        <f t="shared" si="9"/>
        <v>0</v>
      </c>
      <c r="Q36" s="307">
        <f t="shared" si="9"/>
        <v>0</v>
      </c>
      <c r="R36" s="307">
        <f t="shared" si="9"/>
        <v>0</v>
      </c>
      <c r="S36" s="307">
        <f t="shared" si="9"/>
        <v>12</v>
      </c>
      <c r="T36" s="307">
        <f t="shared" si="9"/>
        <v>12</v>
      </c>
    </row>
    <row r="37" spans="1:20" s="140" customFormat="1" ht="37.5" customHeight="1" x14ac:dyDescent="0.2">
      <c r="A37" s="192">
        <v>30</v>
      </c>
      <c r="B37" s="301" t="s">
        <v>727</v>
      </c>
      <c r="C37" s="308">
        <f t="shared" ref="C37:T37" si="10">+C36+C32+C24+C12</f>
        <v>50</v>
      </c>
      <c r="D37" s="308">
        <f t="shared" si="10"/>
        <v>50</v>
      </c>
      <c r="E37" s="308">
        <f t="shared" si="10"/>
        <v>48</v>
      </c>
      <c r="F37" s="308">
        <f t="shared" si="10"/>
        <v>48</v>
      </c>
      <c r="G37" s="308">
        <f t="shared" si="10"/>
        <v>60</v>
      </c>
      <c r="H37" s="308">
        <f t="shared" si="10"/>
        <v>60</v>
      </c>
      <c r="I37" s="308">
        <f t="shared" si="10"/>
        <v>109</v>
      </c>
      <c r="J37" s="308">
        <f t="shared" si="10"/>
        <v>109</v>
      </c>
      <c r="K37" s="308">
        <f t="shared" si="10"/>
        <v>114</v>
      </c>
      <c r="L37" s="308">
        <f t="shared" si="10"/>
        <v>114</v>
      </c>
      <c r="M37" s="308">
        <f t="shared" si="10"/>
        <v>11</v>
      </c>
      <c r="N37" s="308">
        <f t="shared" si="10"/>
        <v>11</v>
      </c>
      <c r="O37" s="308">
        <f t="shared" si="10"/>
        <v>12</v>
      </c>
      <c r="P37" s="308">
        <f t="shared" si="10"/>
        <v>12</v>
      </c>
      <c r="Q37" s="308">
        <f t="shared" si="10"/>
        <v>155</v>
      </c>
      <c r="R37" s="308">
        <f t="shared" si="10"/>
        <v>155</v>
      </c>
      <c r="S37" s="308">
        <f t="shared" si="10"/>
        <v>559</v>
      </c>
      <c r="T37" s="308">
        <f t="shared" si="10"/>
        <v>559</v>
      </c>
    </row>
    <row r="38" spans="1:20" s="122" customFormat="1" ht="12.75" customHeight="1" x14ac:dyDescent="0.2">
      <c r="B38" s="601"/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193"/>
    </row>
  </sheetData>
  <sheetProtection selectLockedCells="1" selectUnlockedCells="1"/>
  <mergeCells count="11">
    <mergeCell ref="B1:J1"/>
    <mergeCell ref="C7:D7"/>
    <mergeCell ref="E7:F7"/>
    <mergeCell ref="G7:H7"/>
    <mergeCell ref="I7:J7"/>
    <mergeCell ref="M7:N7"/>
    <mergeCell ref="O7:P7"/>
    <mergeCell ref="Q7:R7"/>
    <mergeCell ref="S7:T7"/>
    <mergeCell ref="B38:L38"/>
    <mergeCell ref="K7:L7"/>
  </mergeCells>
  <printOptions horizontalCentered="1"/>
  <pageMargins left="0.59027777777777779" right="0.40972222222222221" top="0.70972222222222225" bottom="0.55000000000000004" header="0.51180555555555551" footer="0.31527777777777777"/>
  <pageSetup paperSize="9" scale="66" firstPageNumber="0" orientation="landscape" horizontalDpi="300" verticalDpi="300" r:id="rId1"/>
  <headerFooter alignWithMargins="0">
    <oddFooter>&amp;R&amp;P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0"/>
  <sheetViews>
    <sheetView view="pageBreakPreview" topLeftCell="B1" zoomScale="80" zoomScaleSheetLayoutView="80" workbookViewId="0">
      <selection activeCell="F1" sqref="F1:G1048576"/>
    </sheetView>
  </sheetViews>
  <sheetFormatPr defaultColWidth="11.5703125" defaultRowHeight="15.75" x14ac:dyDescent="0.25"/>
  <cols>
    <col min="1" max="1" width="13.140625" style="2" customWidth="1"/>
    <col min="2" max="2" width="76.28515625" style="2" customWidth="1"/>
    <col min="3" max="3" width="6.85546875" style="2" customWidth="1"/>
    <col min="4" max="5" width="13.7109375" style="194" customWidth="1"/>
    <col min="6" max="6" width="11.7109375" style="2" customWidth="1"/>
    <col min="7" max="253" width="9.140625" style="2" customWidth="1"/>
  </cols>
  <sheetData>
    <row r="1" spans="1:6" x14ac:dyDescent="0.25">
      <c r="A1" s="195"/>
      <c r="E1" s="4" t="s">
        <v>633</v>
      </c>
    </row>
    <row r="2" spans="1:6" x14ac:dyDescent="0.25">
      <c r="A2" s="195"/>
      <c r="E2" s="5" t="s">
        <v>808</v>
      </c>
    </row>
    <row r="3" spans="1:6" x14ac:dyDescent="0.25">
      <c r="A3" s="195"/>
      <c r="D3" s="196"/>
      <c r="E3" s="196"/>
    </row>
    <row r="4" spans="1:6" ht="28.5" customHeight="1" x14ac:dyDescent="0.3">
      <c r="A4" s="195"/>
      <c r="B4" s="1" t="s">
        <v>767</v>
      </c>
      <c r="C4" s="25"/>
      <c r="D4" s="197"/>
      <c r="E4" s="197"/>
    </row>
    <row r="5" spans="1:6" ht="18.75" x14ac:dyDescent="0.3">
      <c r="A5" s="195"/>
      <c r="B5" s="1"/>
      <c r="C5" s="25"/>
      <c r="D5" s="197"/>
      <c r="E5" s="197"/>
    </row>
    <row r="6" spans="1:6" ht="15.75" customHeight="1" x14ac:dyDescent="0.25">
      <c r="A6" s="195"/>
      <c r="B6" s="602" t="s">
        <v>729</v>
      </c>
      <c r="C6" s="602"/>
      <c r="D6" s="198"/>
      <c r="E6" s="198"/>
    </row>
    <row r="7" spans="1:6" x14ac:dyDescent="0.25">
      <c r="A7" s="195"/>
      <c r="B7" s="199"/>
      <c r="C7" s="200"/>
      <c r="D7" s="201"/>
      <c r="E7" s="201"/>
    </row>
    <row r="8" spans="1:6" x14ac:dyDescent="0.25">
      <c r="A8" s="195"/>
    </row>
    <row r="9" spans="1:6" s="11" customFormat="1" ht="31.5" x14ac:dyDescent="0.25">
      <c r="A9" s="202"/>
      <c r="B9" s="8" t="s">
        <v>514</v>
      </c>
      <c r="C9" s="311" t="s">
        <v>33</v>
      </c>
      <c r="D9" s="397" t="s">
        <v>634</v>
      </c>
      <c r="E9" s="393" t="s">
        <v>635</v>
      </c>
    </row>
    <row r="10" spans="1:6" s="11" customFormat="1" hidden="1" x14ac:dyDescent="0.25">
      <c r="A10" s="202"/>
      <c r="B10" s="310" t="s">
        <v>761</v>
      </c>
      <c r="C10" s="311" t="s">
        <v>763</v>
      </c>
      <c r="D10" s="312"/>
      <c r="E10" s="394"/>
    </row>
    <row r="11" spans="1:6" s="11" customFormat="1" hidden="1" x14ac:dyDescent="0.25">
      <c r="A11" s="202"/>
      <c r="B11" s="310" t="s">
        <v>762</v>
      </c>
      <c r="C11" s="311" t="s">
        <v>764</v>
      </c>
      <c r="D11" s="312"/>
      <c r="E11" s="394"/>
    </row>
    <row r="12" spans="1:6" s="11" customFormat="1" hidden="1" x14ac:dyDescent="0.25">
      <c r="A12" s="202"/>
      <c r="B12" s="8"/>
      <c r="C12" s="311"/>
      <c r="D12" s="397"/>
      <c r="E12" s="395"/>
    </row>
    <row r="13" spans="1:6" s="11" customFormat="1" x14ac:dyDescent="0.25">
      <c r="A13" s="202"/>
      <c r="B13" s="203" t="s">
        <v>636</v>
      </c>
      <c r="C13" s="311"/>
      <c r="D13" s="397"/>
      <c r="E13" s="393"/>
    </row>
    <row r="14" spans="1:6" x14ac:dyDescent="0.25">
      <c r="A14" s="414" t="s">
        <v>809</v>
      </c>
      <c r="B14" s="81" t="s">
        <v>637</v>
      </c>
      <c r="C14" s="392" t="s">
        <v>55</v>
      </c>
      <c r="D14" s="398">
        <v>21000000</v>
      </c>
      <c r="E14" s="398">
        <v>21000000</v>
      </c>
      <c r="F14" s="3"/>
    </row>
    <row r="15" spans="1:6" x14ac:dyDescent="0.25">
      <c r="A15" s="414" t="s">
        <v>810</v>
      </c>
      <c r="B15" s="81" t="s">
        <v>638</v>
      </c>
      <c r="C15" s="392" t="s">
        <v>55</v>
      </c>
      <c r="D15" s="398">
        <v>1200000</v>
      </c>
      <c r="E15" s="398">
        <v>1200000</v>
      </c>
    </row>
    <row r="16" spans="1:6" x14ac:dyDescent="0.25">
      <c r="A16" s="414" t="s">
        <v>810</v>
      </c>
      <c r="B16" s="81" t="s">
        <v>639</v>
      </c>
      <c r="C16" s="392" t="s">
        <v>55</v>
      </c>
      <c r="D16" s="398">
        <v>500000</v>
      </c>
      <c r="E16" s="398">
        <v>500000</v>
      </c>
    </row>
    <row r="17" spans="1:5" x14ac:dyDescent="0.25">
      <c r="B17" s="203" t="s">
        <v>640</v>
      </c>
      <c r="C17" s="374"/>
      <c r="D17" s="386"/>
      <c r="E17" s="386"/>
    </row>
    <row r="18" spans="1:5" x14ac:dyDescent="0.25">
      <c r="A18" s="414" t="s">
        <v>809</v>
      </c>
      <c r="B18" s="81" t="s">
        <v>641</v>
      </c>
      <c r="C18" s="392" t="s">
        <v>55</v>
      </c>
      <c r="D18" s="398">
        <v>6500000</v>
      </c>
      <c r="E18" s="398">
        <v>6500000</v>
      </c>
    </row>
    <row r="19" spans="1:5" x14ac:dyDescent="0.25">
      <c r="A19" s="414" t="s">
        <v>809</v>
      </c>
      <c r="B19" s="81" t="s">
        <v>642</v>
      </c>
      <c r="C19" s="392" t="s">
        <v>55</v>
      </c>
      <c r="D19" s="398">
        <v>11000000</v>
      </c>
      <c r="E19" s="398">
        <v>11000000</v>
      </c>
    </row>
    <row r="20" spans="1:5" x14ac:dyDescent="0.25">
      <c r="A20" s="414" t="s">
        <v>809</v>
      </c>
      <c r="B20" s="81" t="s">
        <v>643</v>
      </c>
      <c r="C20" s="392" t="s">
        <v>55</v>
      </c>
      <c r="D20" s="398">
        <v>1000000</v>
      </c>
      <c r="E20" s="398">
        <v>1000000</v>
      </c>
    </row>
    <row r="21" spans="1:5" x14ac:dyDescent="0.25">
      <c r="A21" s="414" t="s">
        <v>811</v>
      </c>
      <c r="B21" s="205" t="s">
        <v>644</v>
      </c>
      <c r="C21" s="392" t="s">
        <v>55</v>
      </c>
      <c r="D21" s="399">
        <v>4000000</v>
      </c>
      <c r="E21" s="399">
        <v>4000000</v>
      </c>
    </row>
    <row r="22" spans="1:5" x14ac:dyDescent="0.25">
      <c r="A22" s="414" t="s">
        <v>809</v>
      </c>
      <c r="B22" s="54" t="s">
        <v>645</v>
      </c>
      <c r="C22" s="392" t="s">
        <v>55</v>
      </c>
      <c r="D22" s="398">
        <v>5500000</v>
      </c>
      <c r="E22" s="398">
        <v>5500000</v>
      </c>
    </row>
    <row r="23" spans="1:5" x14ac:dyDescent="0.25">
      <c r="A23" s="414" t="s">
        <v>809</v>
      </c>
      <c r="B23" s="54" t="s">
        <v>646</v>
      </c>
      <c r="C23" s="392" t="s">
        <v>55</v>
      </c>
      <c r="D23" s="398">
        <v>200000</v>
      </c>
      <c r="E23" s="398">
        <v>200000</v>
      </c>
    </row>
    <row r="24" spans="1:5" x14ac:dyDescent="0.25">
      <c r="A24" s="414" t="s">
        <v>809</v>
      </c>
      <c r="B24" s="46" t="s">
        <v>647</v>
      </c>
      <c r="C24" s="392" t="s">
        <v>55</v>
      </c>
      <c r="D24" s="398">
        <v>500000</v>
      </c>
      <c r="E24" s="398">
        <v>500000</v>
      </c>
    </row>
    <row r="25" spans="1:5" x14ac:dyDescent="0.25">
      <c r="A25" s="414" t="s">
        <v>811</v>
      </c>
      <c r="B25" s="206" t="s">
        <v>648</v>
      </c>
      <c r="C25" s="392" t="s">
        <v>55</v>
      </c>
      <c r="D25" s="399">
        <v>8600000</v>
      </c>
      <c r="E25" s="399">
        <v>8600000</v>
      </c>
    </row>
    <row r="26" spans="1:5" s="77" customFormat="1" x14ac:dyDescent="0.25">
      <c r="A26" s="16"/>
      <c r="B26" s="207" t="s">
        <v>649</v>
      </c>
      <c r="C26" s="375" t="s">
        <v>55</v>
      </c>
      <c r="D26" s="400">
        <f>SUM(D14:D25)</f>
        <v>60000000</v>
      </c>
      <c r="E26" s="396">
        <f>SUM(E14:E25)</f>
        <v>60000000</v>
      </c>
    </row>
    <row r="27" spans="1:5" x14ac:dyDescent="0.25">
      <c r="B27" s="208" t="s">
        <v>650</v>
      </c>
      <c r="D27" s="194">
        <v>200000</v>
      </c>
    </row>
    <row r="28" spans="1:5" x14ac:dyDescent="0.25">
      <c r="A28" s="16" t="s">
        <v>651</v>
      </c>
      <c r="B28" s="16" t="s">
        <v>652</v>
      </c>
      <c r="D28" s="209">
        <f>SUM(D26:D27)</f>
        <v>60200000</v>
      </c>
      <c r="E28" s="209">
        <f>SUM(E26:E27)</f>
        <v>60000000</v>
      </c>
    </row>
    <row r="29" spans="1:5" x14ac:dyDescent="0.25">
      <c r="A29" s="2" t="s">
        <v>325</v>
      </c>
      <c r="D29" s="194">
        <v>0</v>
      </c>
      <c r="E29" s="194">
        <v>0</v>
      </c>
    </row>
    <row r="30" spans="1:5" x14ac:dyDescent="0.25">
      <c r="A30" s="2" t="s">
        <v>653</v>
      </c>
      <c r="D30" s="194">
        <f>+D29-D26</f>
        <v>-60000000</v>
      </c>
      <c r="E30" s="194">
        <f>+E29-E26</f>
        <v>-60000000</v>
      </c>
    </row>
  </sheetData>
  <sheetProtection selectLockedCells="1" selectUnlockedCells="1"/>
  <mergeCells count="1">
    <mergeCell ref="B6:C6"/>
  </mergeCells>
  <pageMargins left="0.69027777777777777" right="0.52986111111111112" top="0.74791666666666667" bottom="0.74861111111111112" header="0.51180555555555551" footer="0.31527777777777777"/>
  <pageSetup paperSize="9" scale="81" firstPageNumber="0" orientation="portrait" horizontalDpi="300" verticalDpi="300" r:id="rId1"/>
  <headerFooter alignWithMargins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83"/>
  <sheetViews>
    <sheetView view="pageBreakPreview" topLeftCell="A38" zoomScale="80" zoomScaleSheetLayoutView="80" workbookViewId="0">
      <selection activeCell="H1" sqref="H1:J1048576"/>
    </sheetView>
  </sheetViews>
  <sheetFormatPr defaultColWidth="11.5703125" defaultRowHeight="15.75" x14ac:dyDescent="0.25"/>
  <cols>
    <col min="1" max="1" width="13.140625" style="2" customWidth="1"/>
    <col min="2" max="2" width="75.5703125" style="2" customWidth="1"/>
    <col min="3" max="3" width="10" style="2" customWidth="1"/>
    <col min="4" max="4" width="13.85546875" style="3" customWidth="1"/>
    <col min="5" max="5" width="13.5703125" style="3" customWidth="1"/>
    <col min="6" max="6" width="13.85546875" style="3" customWidth="1"/>
    <col min="7" max="7" width="12.85546875" style="3" customWidth="1"/>
    <col min="8" max="251" width="9.140625" style="2" customWidth="1"/>
  </cols>
  <sheetData>
    <row r="1" spans="1:7" x14ac:dyDescent="0.25">
      <c r="G1" s="4" t="s">
        <v>654</v>
      </c>
    </row>
    <row r="2" spans="1:7" x14ac:dyDescent="0.25">
      <c r="G2" s="5" t="s">
        <v>808</v>
      </c>
    </row>
    <row r="3" spans="1:7" x14ac:dyDescent="0.25">
      <c r="E3" s="107"/>
      <c r="G3" s="107"/>
    </row>
    <row r="4" spans="1:7" ht="18.75" x14ac:dyDescent="0.3">
      <c r="B4" s="1" t="s">
        <v>767</v>
      </c>
      <c r="C4"/>
      <c r="D4"/>
      <c r="E4"/>
      <c r="F4"/>
      <c r="G4"/>
    </row>
    <row r="5" spans="1:7" ht="18.75" x14ac:dyDescent="0.3">
      <c r="B5" s="1"/>
      <c r="C5"/>
      <c r="D5"/>
      <c r="E5"/>
      <c r="F5"/>
      <c r="G5"/>
    </row>
    <row r="6" spans="1:7" ht="36" customHeight="1" x14ac:dyDescent="0.25">
      <c r="B6" s="582" t="s">
        <v>736</v>
      </c>
      <c r="C6" s="582"/>
      <c r="D6" s="582"/>
      <c r="E6" s="582"/>
      <c r="F6" s="29"/>
      <c r="G6" s="29"/>
    </row>
    <row r="7" spans="1:7" x14ac:dyDescent="0.25">
      <c r="A7" s="2" t="s">
        <v>325</v>
      </c>
      <c r="B7" s="29"/>
      <c r="C7" s="30"/>
      <c r="D7" s="32"/>
      <c r="F7" s="32"/>
    </row>
    <row r="8" spans="1:7" x14ac:dyDescent="0.25">
      <c r="A8" s="2" t="s">
        <v>655</v>
      </c>
      <c r="D8" s="603" t="s">
        <v>6</v>
      </c>
      <c r="E8" s="603"/>
      <c r="F8" s="603" t="s">
        <v>7</v>
      </c>
      <c r="G8" s="603"/>
    </row>
    <row r="9" spans="1:7" s="11" customFormat="1" ht="47.25" x14ac:dyDescent="0.25">
      <c r="B9" s="210" t="s">
        <v>656</v>
      </c>
      <c r="C9" s="35" t="s">
        <v>33</v>
      </c>
      <c r="D9" s="9" t="s">
        <v>9</v>
      </c>
      <c r="E9" s="9" t="s">
        <v>10</v>
      </c>
      <c r="F9" s="9" t="s">
        <v>9</v>
      </c>
      <c r="G9" s="9" t="s">
        <v>10</v>
      </c>
    </row>
    <row r="10" spans="1:7" s="86" customFormat="1" x14ac:dyDescent="0.25">
      <c r="A10" s="86" t="s">
        <v>657</v>
      </c>
      <c r="B10" s="211"/>
      <c r="C10" s="79" t="s">
        <v>138</v>
      </c>
      <c r="D10" s="13">
        <v>0</v>
      </c>
      <c r="E10" s="13"/>
      <c r="F10" s="13">
        <v>0</v>
      </c>
      <c r="G10" s="13"/>
    </row>
    <row r="11" spans="1:7" s="86" customFormat="1" x14ac:dyDescent="0.25">
      <c r="A11" s="86" t="s">
        <v>658</v>
      </c>
      <c r="B11" s="212"/>
      <c r="C11" s="79" t="s">
        <v>138</v>
      </c>
      <c r="D11" s="204">
        <v>0</v>
      </c>
      <c r="E11" s="13"/>
      <c r="F11" s="204">
        <v>0</v>
      </c>
      <c r="G11" s="13"/>
    </row>
    <row r="12" spans="1:7" s="86" customFormat="1" x14ac:dyDescent="0.25">
      <c r="A12" s="86" t="s">
        <v>659</v>
      </c>
      <c r="B12" s="213"/>
      <c r="C12" s="79" t="s">
        <v>138</v>
      </c>
      <c r="D12" s="204"/>
      <c r="E12" s="13"/>
      <c r="F12" s="204"/>
      <c r="G12" s="13"/>
    </row>
    <row r="13" spans="1:7" s="217" customFormat="1" x14ac:dyDescent="0.25">
      <c r="A13" s="214"/>
      <c r="B13" s="215" t="s">
        <v>660</v>
      </c>
      <c r="C13" s="216" t="s">
        <v>138</v>
      </c>
      <c r="D13" s="92">
        <f t="shared" ref="D13:G13" si="0">SUM(D10:D12)</f>
        <v>0</v>
      </c>
      <c r="E13" s="92">
        <f t="shared" si="0"/>
        <v>0</v>
      </c>
      <c r="F13" s="92">
        <f t="shared" si="0"/>
        <v>0</v>
      </c>
      <c r="G13" s="92">
        <f t="shared" si="0"/>
        <v>0</v>
      </c>
    </row>
    <row r="14" spans="1:7" x14ac:dyDescent="0.25">
      <c r="B14" s="90" t="s">
        <v>661</v>
      </c>
      <c r="C14" s="79" t="s">
        <v>138</v>
      </c>
      <c r="D14" s="13">
        <f t="shared" ref="D14:G14" si="1">+D13</f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</row>
    <row r="15" spans="1:7" x14ac:dyDescent="0.25">
      <c r="B15" s="90" t="s">
        <v>662</v>
      </c>
      <c r="C15" s="79" t="s">
        <v>138</v>
      </c>
      <c r="D15" s="13"/>
      <c r="E15" s="13"/>
      <c r="F15" s="13"/>
      <c r="G15" s="13"/>
    </row>
    <row r="16" spans="1:7" s="217" customFormat="1" ht="20.25" customHeight="1" x14ac:dyDescent="0.25">
      <c r="A16" s="214"/>
      <c r="B16" s="215" t="s">
        <v>139</v>
      </c>
      <c r="C16" s="216" t="s">
        <v>140</v>
      </c>
      <c r="D16" s="92"/>
      <c r="E16" s="92"/>
      <c r="F16" s="92"/>
      <c r="G16" s="92"/>
    </row>
    <row r="17" spans="1:7" s="214" customFormat="1" x14ac:dyDescent="0.25">
      <c r="B17" s="78" t="s">
        <v>404</v>
      </c>
      <c r="C17" s="79" t="s">
        <v>142</v>
      </c>
      <c r="D17" s="80"/>
      <c r="E17" s="93"/>
      <c r="F17" s="80"/>
      <c r="G17" s="93"/>
    </row>
    <row r="18" spans="1:7" s="214" customFormat="1" x14ac:dyDescent="0.25">
      <c r="A18" s="2" t="s">
        <v>663</v>
      </c>
      <c r="B18" s="78" t="s">
        <v>741</v>
      </c>
      <c r="C18" s="79" t="s">
        <v>142</v>
      </c>
      <c r="D18" s="80">
        <v>88500000</v>
      </c>
      <c r="E18" s="93"/>
      <c r="F18" s="80">
        <v>88500000</v>
      </c>
      <c r="G18" s="93"/>
    </row>
    <row r="19" spans="1:7" s="217" customFormat="1" x14ac:dyDescent="0.25">
      <c r="A19" s="214"/>
      <c r="B19" s="215" t="s">
        <v>664</v>
      </c>
      <c r="C19" s="216" t="s">
        <v>142</v>
      </c>
      <c r="D19" s="92">
        <f>SUM(D17:D18)</f>
        <v>88500000</v>
      </c>
      <c r="E19" s="92"/>
      <c r="F19" s="92">
        <f>SUM(F17:F18)</f>
        <v>88500000</v>
      </c>
      <c r="G19" s="92"/>
    </row>
    <row r="20" spans="1:7" x14ac:dyDescent="0.25">
      <c r="B20" s="90" t="s">
        <v>661</v>
      </c>
      <c r="C20" s="79" t="s">
        <v>142</v>
      </c>
      <c r="D20" s="13">
        <f>+D19</f>
        <v>88500000</v>
      </c>
      <c r="E20" s="13"/>
      <c r="F20" s="13">
        <f>+F19</f>
        <v>88500000</v>
      </c>
      <c r="G20" s="13"/>
    </row>
    <row r="21" spans="1:7" x14ac:dyDescent="0.25">
      <c r="B21" s="90" t="s">
        <v>662</v>
      </c>
      <c r="C21" s="79" t="s">
        <v>142</v>
      </c>
      <c r="D21" s="13"/>
      <c r="E21" s="13"/>
      <c r="F21" s="13"/>
      <c r="G21" s="13"/>
    </row>
    <row r="22" spans="1:7" s="77" customFormat="1" x14ac:dyDescent="0.25">
      <c r="A22" s="2"/>
      <c r="B22" s="207" t="s">
        <v>143</v>
      </c>
      <c r="C22" s="74" t="s">
        <v>144</v>
      </c>
      <c r="D22" s="76">
        <f t="shared" ref="D22:G22" si="2">+D19+D16+D13</f>
        <v>88500000</v>
      </c>
      <c r="E22" s="76">
        <f t="shared" si="2"/>
        <v>0</v>
      </c>
      <c r="F22" s="76">
        <f t="shared" si="2"/>
        <v>88500000</v>
      </c>
      <c r="G22" s="76">
        <f t="shared" si="2"/>
        <v>0</v>
      </c>
    </row>
    <row r="23" spans="1:7" s="214" customFormat="1" x14ac:dyDescent="0.25">
      <c r="B23" s="218" t="s">
        <v>665</v>
      </c>
      <c r="C23" s="219" t="s">
        <v>666</v>
      </c>
      <c r="D23" s="93"/>
      <c r="E23" s="93"/>
      <c r="F23" s="93"/>
      <c r="G23" s="93"/>
    </row>
    <row r="24" spans="1:7" hidden="1" x14ac:dyDescent="0.25">
      <c r="B24" s="90" t="s">
        <v>667</v>
      </c>
      <c r="C24" s="79" t="s">
        <v>666</v>
      </c>
      <c r="D24" s="13"/>
      <c r="E24" s="13"/>
      <c r="F24" s="13"/>
      <c r="G24" s="13"/>
    </row>
    <row r="25" spans="1:7" hidden="1" x14ac:dyDescent="0.25">
      <c r="B25" s="90" t="s">
        <v>668</v>
      </c>
      <c r="C25" s="79" t="s">
        <v>666</v>
      </c>
      <c r="D25" s="13"/>
      <c r="E25" s="13"/>
      <c r="F25" s="13"/>
      <c r="G25" s="13"/>
    </row>
    <row r="26" spans="1:7" s="217" customFormat="1" x14ac:dyDescent="0.25">
      <c r="A26" s="214"/>
      <c r="B26" s="220" t="s">
        <v>669</v>
      </c>
      <c r="C26" s="216" t="s">
        <v>670</v>
      </c>
      <c r="D26" s="92">
        <v>0</v>
      </c>
      <c r="E26" s="92">
        <v>0</v>
      </c>
      <c r="F26" s="92">
        <v>0</v>
      </c>
      <c r="G26" s="92">
        <v>0</v>
      </c>
    </row>
    <row r="27" spans="1:7" x14ac:dyDescent="0.25">
      <c r="B27" s="90" t="s">
        <v>662</v>
      </c>
      <c r="C27" s="79" t="s">
        <v>670</v>
      </c>
      <c r="D27" s="13"/>
      <c r="E27" s="13"/>
      <c r="F27" s="13"/>
      <c r="G27" s="13"/>
    </row>
    <row r="28" spans="1:7" s="217" customFormat="1" x14ac:dyDescent="0.25">
      <c r="A28" s="214"/>
      <c r="B28" s="221" t="s">
        <v>671</v>
      </c>
      <c r="C28" s="216" t="s">
        <v>672</v>
      </c>
      <c r="D28" s="92"/>
      <c r="E28" s="92"/>
      <c r="F28" s="92"/>
      <c r="G28" s="92"/>
    </row>
    <row r="29" spans="1:7" s="214" customFormat="1" x14ac:dyDescent="0.25">
      <c r="B29" s="222"/>
      <c r="C29" s="79" t="s">
        <v>673</v>
      </c>
      <c r="D29" s="80"/>
      <c r="E29" s="80"/>
      <c r="F29" s="80"/>
      <c r="G29" s="80"/>
    </row>
    <row r="30" spans="1:7" s="217" customFormat="1" ht="31.5" x14ac:dyDescent="0.25">
      <c r="A30" s="214"/>
      <c r="B30" s="221" t="s">
        <v>674</v>
      </c>
      <c r="C30" s="216" t="s">
        <v>673</v>
      </c>
      <c r="D30" s="92">
        <f t="shared" ref="D30:G30" si="3">+D29</f>
        <v>0</v>
      </c>
      <c r="E30" s="92">
        <f t="shared" si="3"/>
        <v>0</v>
      </c>
      <c r="F30" s="92">
        <f t="shared" si="3"/>
        <v>0</v>
      </c>
      <c r="G30" s="92">
        <f t="shared" si="3"/>
        <v>0</v>
      </c>
    </row>
    <row r="31" spans="1:7" x14ac:dyDescent="0.25">
      <c r="B31" s="90" t="s">
        <v>668</v>
      </c>
      <c r="C31" s="79" t="s">
        <v>673</v>
      </c>
      <c r="D31" s="13"/>
      <c r="E31" s="13"/>
      <c r="F31" s="13"/>
      <c r="G31" s="13"/>
    </row>
    <row r="32" spans="1:7" x14ac:dyDescent="0.25">
      <c r="B32" s="90" t="s">
        <v>662</v>
      </c>
      <c r="C32" s="79" t="s">
        <v>673</v>
      </c>
      <c r="D32" s="13"/>
      <c r="E32" s="13"/>
      <c r="F32" s="13"/>
      <c r="G32" s="13"/>
    </row>
    <row r="33" spans="1:7" s="77" customFormat="1" x14ac:dyDescent="0.25">
      <c r="A33" s="2"/>
      <c r="B33" s="223" t="s">
        <v>145</v>
      </c>
      <c r="C33" s="74" t="s">
        <v>146</v>
      </c>
      <c r="D33" s="76">
        <f t="shared" ref="D33:G33" si="4">+D30+D28+D26+D23</f>
        <v>0</v>
      </c>
      <c r="E33" s="76">
        <f t="shared" si="4"/>
        <v>0</v>
      </c>
      <c r="F33" s="76">
        <f t="shared" si="4"/>
        <v>0</v>
      </c>
      <c r="G33" s="76">
        <f t="shared" si="4"/>
        <v>0</v>
      </c>
    </row>
    <row r="34" spans="1:7" x14ac:dyDescent="0.25">
      <c r="B34" s="224" t="s">
        <v>147</v>
      </c>
      <c r="C34" s="44" t="s">
        <v>148</v>
      </c>
      <c r="D34" s="13"/>
      <c r="E34" s="13"/>
      <c r="F34" s="13"/>
      <c r="G34" s="13"/>
    </row>
    <row r="35" spans="1:7" x14ac:dyDescent="0.25">
      <c r="B35" s="224" t="s">
        <v>149</v>
      </c>
      <c r="C35" s="44" t="s">
        <v>150</v>
      </c>
      <c r="D35" s="13">
        <v>40849120</v>
      </c>
      <c r="E35" s="13"/>
      <c r="F35" s="13">
        <v>40849120</v>
      </c>
      <c r="G35" s="13"/>
    </row>
    <row r="36" spans="1:7" x14ac:dyDescent="0.25">
      <c r="B36" s="224" t="s">
        <v>675</v>
      </c>
      <c r="C36" s="44" t="s">
        <v>154</v>
      </c>
      <c r="D36" s="13"/>
      <c r="E36" s="13"/>
      <c r="F36" s="13"/>
      <c r="G36" s="13"/>
    </row>
    <row r="37" spans="1:7" x14ac:dyDescent="0.25">
      <c r="B37" s="224" t="s">
        <v>155</v>
      </c>
      <c r="C37" s="44" t="s">
        <v>156</v>
      </c>
      <c r="D37" s="13"/>
      <c r="E37" s="13"/>
      <c r="F37" s="13"/>
      <c r="G37" s="13"/>
    </row>
    <row r="38" spans="1:7" x14ac:dyDescent="0.25">
      <c r="B38" s="224" t="s">
        <v>157</v>
      </c>
      <c r="C38" s="44" t="s">
        <v>158</v>
      </c>
      <c r="D38" s="13"/>
      <c r="E38" s="13"/>
      <c r="F38" s="13"/>
      <c r="G38" s="13"/>
    </row>
    <row r="39" spans="1:7" s="77" customFormat="1" x14ac:dyDescent="0.25">
      <c r="A39" s="2"/>
      <c r="B39" s="223" t="s">
        <v>161</v>
      </c>
      <c r="C39" s="74" t="s">
        <v>162</v>
      </c>
      <c r="D39" s="76">
        <f t="shared" ref="D39:G39" si="5">SUM(D33:D38)+D22</f>
        <v>129349120</v>
      </c>
      <c r="E39" s="76">
        <f t="shared" si="5"/>
        <v>0</v>
      </c>
      <c r="F39" s="76">
        <f t="shared" si="5"/>
        <v>129349120</v>
      </c>
      <c r="G39" s="76">
        <f t="shared" si="5"/>
        <v>0</v>
      </c>
    </row>
    <row r="40" spans="1:7" hidden="1" x14ac:dyDescent="0.25">
      <c r="B40" s="47" t="s">
        <v>676</v>
      </c>
      <c r="C40" s="41" t="s">
        <v>677</v>
      </c>
      <c r="D40" s="13"/>
      <c r="E40" s="13"/>
      <c r="F40" s="13"/>
      <c r="G40" s="13"/>
    </row>
    <row r="41" spans="1:7" hidden="1" x14ac:dyDescent="0.25">
      <c r="B41" s="46" t="s">
        <v>678</v>
      </c>
      <c r="C41" s="41" t="s">
        <v>679</v>
      </c>
      <c r="D41" s="13"/>
      <c r="E41" s="13"/>
      <c r="F41" s="13"/>
      <c r="G41" s="13"/>
    </row>
    <row r="42" spans="1:7" hidden="1" x14ac:dyDescent="0.25">
      <c r="B42" s="47" t="s">
        <v>680</v>
      </c>
      <c r="C42" s="41" t="s">
        <v>681</v>
      </c>
      <c r="D42" s="13"/>
      <c r="E42" s="13"/>
      <c r="F42" s="13"/>
      <c r="G42" s="13"/>
    </row>
    <row r="43" spans="1:7" hidden="1" x14ac:dyDescent="0.25">
      <c r="B43" s="90" t="s">
        <v>662</v>
      </c>
      <c r="C43" s="79" t="s">
        <v>681</v>
      </c>
      <c r="D43" s="13"/>
      <c r="E43" s="13"/>
      <c r="F43" s="13"/>
      <c r="G43" s="13"/>
    </row>
    <row r="44" spans="1:7" hidden="1" x14ac:dyDescent="0.25">
      <c r="B44" s="47" t="s">
        <v>682</v>
      </c>
      <c r="C44" s="41" t="s">
        <v>683</v>
      </c>
      <c r="D44" s="13"/>
      <c r="E44" s="13"/>
      <c r="F44" s="13"/>
      <c r="G44" s="13"/>
    </row>
    <row r="45" spans="1:7" hidden="1" x14ac:dyDescent="0.25">
      <c r="B45" s="90" t="s">
        <v>684</v>
      </c>
      <c r="C45" s="79" t="s">
        <v>683</v>
      </c>
      <c r="D45" s="13"/>
      <c r="E45" s="13"/>
      <c r="F45" s="13"/>
      <c r="G45" s="13"/>
    </row>
    <row r="46" spans="1:7" hidden="1" x14ac:dyDescent="0.25">
      <c r="B46" s="90" t="s">
        <v>685</v>
      </c>
      <c r="C46" s="79" t="s">
        <v>683</v>
      </c>
      <c r="D46" s="13"/>
      <c r="E46" s="13"/>
      <c r="F46" s="13"/>
      <c r="G46" s="13"/>
    </row>
    <row r="47" spans="1:7" hidden="1" x14ac:dyDescent="0.25">
      <c r="B47" s="90" t="s">
        <v>686</v>
      </c>
      <c r="C47" s="79" t="s">
        <v>683</v>
      </c>
      <c r="D47" s="13"/>
      <c r="E47" s="13"/>
      <c r="F47" s="13"/>
      <c r="G47" s="13"/>
    </row>
    <row r="48" spans="1:7" hidden="1" x14ac:dyDescent="0.25">
      <c r="B48" s="90" t="s">
        <v>662</v>
      </c>
      <c r="C48" s="79" t="s">
        <v>683</v>
      </c>
      <c r="D48" s="13"/>
      <c r="E48" s="13"/>
      <c r="F48" s="13"/>
      <c r="G48" s="13"/>
    </row>
    <row r="49" spans="1:7" s="77" customFormat="1" x14ac:dyDescent="0.25">
      <c r="A49" s="2"/>
      <c r="B49" s="223" t="s">
        <v>687</v>
      </c>
      <c r="C49" s="74" t="s">
        <v>164</v>
      </c>
      <c r="D49" s="76">
        <f t="shared" ref="D49:G49" si="6">+D40+D41+D42+D44</f>
        <v>0</v>
      </c>
      <c r="E49" s="76">
        <f t="shared" si="6"/>
        <v>0</v>
      </c>
      <c r="F49" s="76">
        <f t="shared" si="6"/>
        <v>0</v>
      </c>
      <c r="G49" s="76">
        <f t="shared" si="6"/>
        <v>0</v>
      </c>
    </row>
    <row r="50" spans="1:7" x14ac:dyDescent="0.25">
      <c r="C50" s="208"/>
    </row>
    <row r="51" spans="1:7" x14ac:dyDescent="0.25">
      <c r="D51" s="603" t="str">
        <f>+D8</f>
        <v>Eredeti előirányzat</v>
      </c>
      <c r="E51" s="603"/>
      <c r="F51" s="603" t="str">
        <f>+F8</f>
        <v>Módosított előirányzat</v>
      </c>
      <c r="G51" s="603"/>
    </row>
    <row r="52" spans="1:7" ht="47.25" x14ac:dyDescent="0.25">
      <c r="B52" s="210" t="s">
        <v>688</v>
      </c>
      <c r="C52" s="35" t="s">
        <v>33</v>
      </c>
      <c r="D52" s="9" t="s">
        <v>9</v>
      </c>
      <c r="E52" s="9" t="s">
        <v>10</v>
      </c>
      <c r="F52" s="9" t="s">
        <v>9</v>
      </c>
      <c r="G52" s="9" t="s">
        <v>10</v>
      </c>
    </row>
    <row r="53" spans="1:7" x14ac:dyDescent="0.25">
      <c r="A53" s="2" t="s">
        <v>689</v>
      </c>
      <c r="B53" s="225"/>
      <c r="C53" s="79" t="s">
        <v>271</v>
      </c>
      <c r="D53" s="80">
        <v>0</v>
      </c>
      <c r="E53" s="80"/>
      <c r="F53" s="80">
        <v>0</v>
      </c>
      <c r="G53" s="80"/>
    </row>
    <row r="54" spans="1:7" x14ac:dyDescent="0.25">
      <c r="A54" s="2" t="s">
        <v>690</v>
      </c>
      <c r="B54" s="226"/>
      <c r="C54" s="79" t="s">
        <v>271</v>
      </c>
      <c r="D54" s="80"/>
      <c r="E54" s="80"/>
      <c r="F54" s="80"/>
      <c r="G54" s="80"/>
    </row>
    <row r="55" spans="1:7" s="217" customFormat="1" x14ac:dyDescent="0.25">
      <c r="A55" s="214"/>
      <c r="B55" s="220" t="s">
        <v>691</v>
      </c>
      <c r="C55" s="216" t="s">
        <v>271</v>
      </c>
      <c r="D55" s="92">
        <f t="shared" ref="D55:G55" si="7">+D54+D53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</row>
    <row r="56" spans="1:7" x14ac:dyDescent="0.25">
      <c r="B56" s="90" t="s">
        <v>661</v>
      </c>
      <c r="C56" s="79" t="s">
        <v>271</v>
      </c>
      <c r="D56" s="13">
        <f t="shared" ref="D56:G56" si="8">+D55</f>
        <v>0</v>
      </c>
      <c r="E56" s="13">
        <f t="shared" si="8"/>
        <v>0</v>
      </c>
      <c r="F56" s="13">
        <f t="shared" si="8"/>
        <v>0</v>
      </c>
      <c r="G56" s="13">
        <f t="shared" si="8"/>
        <v>0</v>
      </c>
    </row>
    <row r="57" spans="1:7" x14ac:dyDescent="0.25">
      <c r="B57" s="90"/>
      <c r="C57" s="79" t="s">
        <v>273</v>
      </c>
      <c r="D57" s="13"/>
      <c r="E57" s="13"/>
      <c r="F57" s="13"/>
      <c r="G57" s="13"/>
    </row>
    <row r="58" spans="1:7" s="217" customFormat="1" ht="22.5" customHeight="1" x14ac:dyDescent="0.25">
      <c r="A58" s="214"/>
      <c r="B58" s="215" t="s">
        <v>692</v>
      </c>
      <c r="C58" s="216" t="s">
        <v>273</v>
      </c>
      <c r="D58" s="92">
        <f t="shared" ref="D58:G58" si="9">+D57</f>
        <v>0</v>
      </c>
      <c r="E58" s="92">
        <f t="shared" si="9"/>
        <v>0</v>
      </c>
      <c r="F58" s="92">
        <f t="shared" si="9"/>
        <v>0</v>
      </c>
      <c r="G58" s="92">
        <f t="shared" si="9"/>
        <v>0</v>
      </c>
    </row>
    <row r="59" spans="1:7" s="214" customFormat="1" x14ac:dyDescent="0.25">
      <c r="A59" s="2" t="s">
        <v>693</v>
      </c>
      <c r="B59" s="78" t="s">
        <v>741</v>
      </c>
      <c r="C59" s="79" t="s">
        <v>275</v>
      </c>
      <c r="D59" s="80">
        <v>88500000</v>
      </c>
      <c r="E59" s="93"/>
      <c r="F59" s="80">
        <v>88500000</v>
      </c>
      <c r="G59" s="93"/>
    </row>
    <row r="60" spans="1:7" s="217" customFormat="1" x14ac:dyDescent="0.25">
      <c r="A60" s="214"/>
      <c r="B60" s="220" t="s">
        <v>694</v>
      </c>
      <c r="C60" s="216" t="s">
        <v>275</v>
      </c>
      <c r="D60" s="92">
        <f t="shared" ref="D60:G61" si="10">+D59</f>
        <v>88500000</v>
      </c>
      <c r="E60" s="92">
        <f t="shared" si="10"/>
        <v>0</v>
      </c>
      <c r="F60" s="92">
        <f>+F59</f>
        <v>88500000</v>
      </c>
      <c r="G60" s="92">
        <f t="shared" si="10"/>
        <v>0</v>
      </c>
    </row>
    <row r="61" spans="1:7" x14ac:dyDescent="0.25">
      <c r="B61" s="90" t="s">
        <v>661</v>
      </c>
      <c r="C61" s="79" t="s">
        <v>275</v>
      </c>
      <c r="D61" s="13">
        <f t="shared" si="10"/>
        <v>88500000</v>
      </c>
      <c r="E61" s="13">
        <f t="shared" si="10"/>
        <v>0</v>
      </c>
      <c r="F61" s="13">
        <f>+F60</f>
        <v>88500000</v>
      </c>
      <c r="G61" s="13">
        <f t="shared" si="10"/>
        <v>0</v>
      </c>
    </row>
    <row r="62" spans="1:7" s="77" customFormat="1" x14ac:dyDescent="0.25">
      <c r="A62" s="2"/>
      <c r="B62" s="207" t="s">
        <v>695</v>
      </c>
      <c r="C62" s="74" t="s">
        <v>277</v>
      </c>
      <c r="D62" s="76">
        <f t="shared" ref="D62:G62" si="11">+D55+D58+D60</f>
        <v>88500000</v>
      </c>
      <c r="E62" s="76">
        <f t="shared" si="11"/>
        <v>0</v>
      </c>
      <c r="F62" s="76">
        <f t="shared" si="11"/>
        <v>88500000</v>
      </c>
      <c r="G62" s="76">
        <f t="shared" si="11"/>
        <v>0</v>
      </c>
    </row>
    <row r="63" spans="1:7" x14ac:dyDescent="0.25">
      <c r="B63" s="46" t="s">
        <v>696</v>
      </c>
      <c r="C63" s="41" t="s">
        <v>279</v>
      </c>
      <c r="D63" s="13"/>
      <c r="E63" s="13"/>
      <c r="F63" s="13"/>
      <c r="G63" s="13"/>
    </row>
    <row r="64" spans="1:7" x14ac:dyDescent="0.25">
      <c r="B64" s="90" t="s">
        <v>667</v>
      </c>
      <c r="C64" s="79" t="s">
        <v>279</v>
      </c>
      <c r="D64" s="13"/>
      <c r="E64" s="13"/>
      <c r="F64" s="13"/>
      <c r="G64" s="13"/>
    </row>
    <row r="65" spans="1:7" x14ac:dyDescent="0.25">
      <c r="B65" s="47" t="s">
        <v>697</v>
      </c>
      <c r="C65" s="41" t="s">
        <v>281</v>
      </c>
      <c r="D65" s="13"/>
      <c r="E65" s="13"/>
      <c r="F65" s="13"/>
      <c r="G65" s="13"/>
    </row>
    <row r="66" spans="1:7" x14ac:dyDescent="0.25">
      <c r="B66" s="54" t="s">
        <v>698</v>
      </c>
      <c r="C66" s="41" t="s">
        <v>283</v>
      </c>
      <c r="D66" s="13"/>
      <c r="E66" s="13"/>
      <c r="F66" s="13"/>
      <c r="G66" s="13"/>
    </row>
    <row r="67" spans="1:7" x14ac:dyDescent="0.25">
      <c r="B67" s="90" t="s">
        <v>668</v>
      </c>
      <c r="C67" s="79" t="s">
        <v>283</v>
      </c>
      <c r="D67" s="13"/>
      <c r="E67" s="13"/>
      <c r="F67" s="13"/>
      <c r="G67" s="13"/>
    </row>
    <row r="68" spans="1:7" x14ac:dyDescent="0.25">
      <c r="B68" s="47" t="s">
        <v>699</v>
      </c>
      <c r="C68" s="41" t="s">
        <v>285</v>
      </c>
      <c r="D68" s="13"/>
      <c r="E68" s="13"/>
      <c r="F68" s="13"/>
      <c r="G68" s="13"/>
    </row>
    <row r="69" spans="1:7" x14ac:dyDescent="0.25">
      <c r="B69" s="224" t="s">
        <v>582</v>
      </c>
      <c r="C69" s="44" t="s">
        <v>287</v>
      </c>
      <c r="D69" s="13"/>
      <c r="E69" s="13"/>
      <c r="F69" s="13"/>
      <c r="G69" s="13"/>
    </row>
    <row r="70" spans="1:7" x14ac:dyDescent="0.25">
      <c r="B70" s="224" t="s">
        <v>296</v>
      </c>
      <c r="C70" s="44" t="s">
        <v>297</v>
      </c>
      <c r="D70" s="13"/>
      <c r="E70" s="13"/>
      <c r="F70" s="13"/>
      <c r="G70" s="13"/>
    </row>
    <row r="71" spans="1:7" x14ac:dyDescent="0.25">
      <c r="B71" s="224" t="s">
        <v>298</v>
      </c>
      <c r="C71" s="44" t="s">
        <v>299</v>
      </c>
      <c r="D71" s="13"/>
      <c r="E71" s="13"/>
      <c r="F71" s="13"/>
      <c r="G71" s="13"/>
    </row>
    <row r="72" spans="1:7" x14ac:dyDescent="0.25">
      <c r="B72" s="224" t="s">
        <v>700</v>
      </c>
      <c r="C72" s="44" t="s">
        <v>303</v>
      </c>
      <c r="D72" s="13"/>
      <c r="E72" s="13"/>
      <c r="F72" s="13"/>
      <c r="G72" s="13"/>
    </row>
    <row r="73" spans="1:7" x14ac:dyDescent="0.25">
      <c r="B73" s="227" t="s">
        <v>701</v>
      </c>
      <c r="C73" s="44" t="s">
        <v>305</v>
      </c>
      <c r="D73" s="13"/>
      <c r="E73" s="13"/>
      <c r="F73" s="13"/>
      <c r="G73" s="13"/>
    </row>
    <row r="74" spans="1:7" x14ac:dyDescent="0.25">
      <c r="B74" s="90" t="s">
        <v>702</v>
      </c>
      <c r="C74" s="101" t="s">
        <v>305</v>
      </c>
      <c r="D74" s="13"/>
      <c r="E74" s="13"/>
      <c r="F74" s="13"/>
      <c r="G74" s="13"/>
    </row>
    <row r="75" spans="1:7" s="77" customFormat="1" x14ac:dyDescent="0.25">
      <c r="A75" s="2"/>
      <c r="B75" s="207" t="s">
        <v>308</v>
      </c>
      <c r="C75" s="74" t="s">
        <v>309</v>
      </c>
      <c r="D75" s="76">
        <f t="shared" ref="D75:G75" si="12">+D62+D69+D70+D71+D72+D73</f>
        <v>88500000</v>
      </c>
      <c r="E75" s="76">
        <f t="shared" si="12"/>
        <v>0</v>
      </c>
      <c r="F75" s="76">
        <f t="shared" si="12"/>
        <v>88500000</v>
      </c>
      <c r="G75" s="76">
        <f t="shared" si="12"/>
        <v>0</v>
      </c>
    </row>
    <row r="76" spans="1:7" hidden="1" x14ac:dyDescent="0.25">
      <c r="B76" s="46" t="s">
        <v>703</v>
      </c>
      <c r="C76" s="41" t="s">
        <v>704</v>
      </c>
      <c r="D76" s="13"/>
      <c r="E76" s="13"/>
      <c r="F76" s="13"/>
      <c r="G76" s="13"/>
    </row>
    <row r="77" spans="1:7" hidden="1" x14ac:dyDescent="0.25">
      <c r="B77" s="54" t="s">
        <v>705</v>
      </c>
      <c r="C77" s="41" t="s">
        <v>706</v>
      </c>
      <c r="D77" s="13"/>
      <c r="E77" s="13"/>
      <c r="F77" s="13"/>
      <c r="G77" s="13"/>
    </row>
    <row r="78" spans="1:7" hidden="1" x14ac:dyDescent="0.25">
      <c r="B78" s="47" t="s">
        <v>707</v>
      </c>
      <c r="C78" s="41" t="s">
        <v>708</v>
      </c>
      <c r="D78" s="13"/>
      <c r="E78" s="13"/>
      <c r="F78" s="13"/>
      <c r="G78" s="13"/>
    </row>
    <row r="79" spans="1:7" hidden="1" x14ac:dyDescent="0.25">
      <c r="B79" s="47" t="s">
        <v>709</v>
      </c>
      <c r="C79" s="41" t="s">
        <v>710</v>
      </c>
      <c r="D79" s="13"/>
      <c r="E79" s="13"/>
      <c r="F79" s="13"/>
      <c r="G79" s="13"/>
    </row>
    <row r="80" spans="1:7" hidden="1" x14ac:dyDescent="0.25">
      <c r="B80" s="90" t="s">
        <v>684</v>
      </c>
      <c r="C80" s="79" t="s">
        <v>710</v>
      </c>
      <c r="D80" s="13"/>
      <c r="E80" s="13"/>
      <c r="F80" s="13"/>
      <c r="G80" s="13"/>
    </row>
    <row r="81" spans="1:7" hidden="1" x14ac:dyDescent="0.25">
      <c r="B81" s="90" t="s">
        <v>685</v>
      </c>
      <c r="C81" s="79" t="s">
        <v>710</v>
      </c>
      <c r="D81" s="13"/>
      <c r="E81" s="13"/>
      <c r="F81" s="13"/>
      <c r="G81" s="13"/>
    </row>
    <row r="82" spans="1:7" hidden="1" x14ac:dyDescent="0.25">
      <c r="B82" s="90" t="s">
        <v>686</v>
      </c>
      <c r="C82" s="79" t="s">
        <v>710</v>
      </c>
      <c r="D82" s="13"/>
      <c r="E82" s="13"/>
      <c r="F82" s="13"/>
      <c r="G82" s="13"/>
    </row>
    <row r="83" spans="1:7" s="77" customFormat="1" x14ac:dyDescent="0.25">
      <c r="A83" s="2"/>
      <c r="B83" s="223" t="s">
        <v>711</v>
      </c>
      <c r="C83" s="74" t="s">
        <v>311</v>
      </c>
      <c r="D83" s="76">
        <f t="shared" ref="D83:G83" si="13">SUM(D76:D79)</f>
        <v>0</v>
      </c>
      <c r="E83" s="76">
        <f t="shared" si="13"/>
        <v>0</v>
      </c>
      <c r="F83" s="76">
        <f t="shared" si="13"/>
        <v>0</v>
      </c>
      <c r="G83" s="76">
        <f t="shared" si="13"/>
        <v>0</v>
      </c>
    </row>
  </sheetData>
  <sheetProtection selectLockedCells="1" selectUnlockedCells="1"/>
  <mergeCells count="5">
    <mergeCell ref="B6:E6"/>
    <mergeCell ref="D8:E8"/>
    <mergeCell ref="F8:G8"/>
    <mergeCell ref="D51:E51"/>
    <mergeCell ref="F51:G51"/>
  </mergeCells>
  <printOptions horizontalCentered="1"/>
  <pageMargins left="0.70833333333333337" right="0.70833333333333337" top="0.42986111111111114" bottom="0.58055555555555549" header="0.51180555555555551" footer="0.31527777777777777"/>
  <pageSetup paperSize="9" scale="62" firstPageNumber="0" orientation="portrait" horizontalDpi="300" verticalDpi="300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I27"/>
  <sheetViews>
    <sheetView view="pageBreakPreview" zoomScale="80" zoomScaleSheetLayoutView="80" workbookViewId="0">
      <selection activeCell="I2" sqref="I2"/>
    </sheetView>
  </sheetViews>
  <sheetFormatPr defaultRowHeight="15.75" x14ac:dyDescent="0.25"/>
  <cols>
    <col min="1" max="1" width="48" style="2" customWidth="1"/>
    <col min="2" max="2" width="15.42578125" style="2" customWidth="1"/>
    <col min="3" max="3" width="15.85546875" style="2" bestFit="1" customWidth="1"/>
    <col min="4" max="4" width="12.7109375" style="2" customWidth="1"/>
    <col min="5" max="5" width="11.5703125" style="2" customWidth="1"/>
    <col min="6" max="6" width="12.85546875" style="2" customWidth="1"/>
    <col min="7" max="7" width="11.5703125" style="2" customWidth="1"/>
    <col min="8" max="8" width="11.42578125" style="2" customWidth="1"/>
    <col min="9" max="9" width="16.28515625" style="2" customWidth="1"/>
    <col min="10" max="16384" width="9.140625" style="2"/>
  </cols>
  <sheetData>
    <row r="1" spans="1:9" x14ac:dyDescent="0.25">
      <c r="I1" s="4" t="s">
        <v>831</v>
      </c>
    </row>
    <row r="2" spans="1:9" x14ac:dyDescent="0.25">
      <c r="I2" s="5" t="s">
        <v>808</v>
      </c>
    </row>
    <row r="3" spans="1:9" ht="30.75" customHeight="1" x14ac:dyDescent="0.3">
      <c r="A3" s="577" t="s">
        <v>767</v>
      </c>
      <c r="B3" s="577"/>
      <c r="C3" s="25"/>
      <c r="D3" s="25"/>
      <c r="E3" s="25"/>
      <c r="F3" s="25"/>
      <c r="G3" s="25"/>
      <c r="H3" s="25"/>
      <c r="I3" s="25"/>
    </row>
    <row r="4" spans="1:9" ht="23.25" customHeight="1" x14ac:dyDescent="0.25">
      <c r="A4" s="582" t="s">
        <v>832</v>
      </c>
      <c r="B4" s="582"/>
      <c r="C4" s="582"/>
      <c r="D4" s="582"/>
      <c r="E4" s="582"/>
      <c r="F4" s="582"/>
      <c r="G4" s="582"/>
      <c r="H4" s="582"/>
      <c r="I4" s="582"/>
    </row>
    <row r="7" spans="1:9" s="11" customFormat="1" ht="47.25" x14ac:dyDescent="0.25">
      <c r="A7" s="494" t="s">
        <v>833</v>
      </c>
      <c r="B7" s="494" t="s">
        <v>834</v>
      </c>
      <c r="C7" s="494" t="s">
        <v>835</v>
      </c>
      <c r="D7" s="494" t="s">
        <v>836</v>
      </c>
      <c r="E7" s="494" t="s">
        <v>837</v>
      </c>
      <c r="F7" s="494" t="s">
        <v>838</v>
      </c>
      <c r="G7" s="494" t="s">
        <v>839</v>
      </c>
      <c r="H7" s="494" t="s">
        <v>840</v>
      </c>
      <c r="I7" s="494" t="s">
        <v>515</v>
      </c>
    </row>
    <row r="8" spans="1:9" x14ac:dyDescent="0.25">
      <c r="A8" s="12"/>
      <c r="B8" s="495"/>
      <c r="C8" s="204"/>
      <c r="D8" s="204"/>
      <c r="E8" s="204"/>
      <c r="F8" s="204"/>
      <c r="G8" s="204"/>
      <c r="H8" s="204"/>
      <c r="I8" s="204">
        <f>SUM(C8:H8)</f>
        <v>0</v>
      </c>
    </row>
    <row r="9" spans="1:9" x14ac:dyDescent="0.25">
      <c r="A9" s="496"/>
      <c r="B9" s="495"/>
      <c r="C9" s="204"/>
      <c r="D9" s="204"/>
      <c r="E9" s="204"/>
      <c r="F9" s="204"/>
      <c r="G9" s="204"/>
      <c r="H9" s="204"/>
      <c r="I9" s="204">
        <f>SUM(C9:H9)</f>
        <v>0</v>
      </c>
    </row>
    <row r="10" spans="1:9" x14ac:dyDescent="0.25">
      <c r="A10" s="12"/>
      <c r="B10" s="495"/>
      <c r="C10" s="204"/>
      <c r="D10" s="204"/>
      <c r="E10" s="204"/>
      <c r="F10" s="204"/>
      <c r="G10" s="204"/>
      <c r="H10" s="204"/>
      <c r="I10" s="204">
        <f>SUM(C10:H10)</f>
        <v>0</v>
      </c>
    </row>
    <row r="11" spans="1:9" s="77" customFormat="1" x14ac:dyDescent="0.25">
      <c r="A11" s="497" t="s">
        <v>841</v>
      </c>
      <c r="B11" s="497"/>
      <c r="C11" s="498">
        <f t="shared" ref="C11:I11" si="0">SUM(C8:C10)</f>
        <v>0</v>
      </c>
      <c r="D11" s="498">
        <f t="shared" si="0"/>
        <v>0</v>
      </c>
      <c r="E11" s="498">
        <f t="shared" si="0"/>
        <v>0</v>
      </c>
      <c r="F11" s="498">
        <f t="shared" si="0"/>
        <v>0</v>
      </c>
      <c r="G11" s="498">
        <f t="shared" si="0"/>
        <v>0</v>
      </c>
      <c r="H11" s="498">
        <f t="shared" si="0"/>
        <v>0</v>
      </c>
      <c r="I11" s="498">
        <f t="shared" si="0"/>
        <v>0</v>
      </c>
    </row>
    <row r="12" spans="1:9" x14ac:dyDescent="0.25">
      <c r="A12" s="495"/>
      <c r="B12" s="495"/>
      <c r="C12" s="204"/>
      <c r="D12" s="204"/>
      <c r="E12" s="204"/>
      <c r="F12" s="204"/>
      <c r="G12" s="204"/>
      <c r="H12" s="204"/>
      <c r="I12" s="204">
        <f>SUM(C12:H12)</f>
        <v>0</v>
      </c>
    </row>
    <row r="13" spans="1:9" x14ac:dyDescent="0.25">
      <c r="A13" s="225"/>
      <c r="B13" s="495"/>
      <c r="C13" s="204"/>
      <c r="D13" s="204"/>
      <c r="E13" s="204"/>
      <c r="F13" s="204"/>
      <c r="G13" s="204"/>
      <c r="H13" s="204"/>
      <c r="I13" s="204"/>
    </row>
    <row r="14" spans="1:9" s="77" customFormat="1" x14ac:dyDescent="0.25">
      <c r="A14" s="497" t="s">
        <v>842</v>
      </c>
      <c r="B14" s="497"/>
      <c r="C14" s="498">
        <f t="shared" ref="C14:I14" si="1">SUM(C13:C13)</f>
        <v>0</v>
      </c>
      <c r="D14" s="498">
        <f t="shared" si="1"/>
        <v>0</v>
      </c>
      <c r="E14" s="498">
        <f t="shared" si="1"/>
        <v>0</v>
      </c>
      <c r="F14" s="498">
        <f t="shared" si="1"/>
        <v>0</v>
      </c>
      <c r="G14" s="498">
        <f t="shared" si="1"/>
        <v>0</v>
      </c>
      <c r="H14" s="498">
        <f t="shared" si="1"/>
        <v>0</v>
      </c>
      <c r="I14" s="498">
        <f t="shared" si="1"/>
        <v>0</v>
      </c>
    </row>
    <row r="15" spans="1:9" x14ac:dyDescent="0.25">
      <c r="A15" s="495"/>
      <c r="B15" s="495"/>
      <c r="C15" s="204"/>
      <c r="D15" s="204"/>
      <c r="E15" s="204"/>
      <c r="F15" s="204"/>
      <c r="G15" s="204"/>
      <c r="H15" s="204"/>
      <c r="I15" s="204">
        <f>SUM(C15:H15)</f>
        <v>0</v>
      </c>
    </row>
    <row r="16" spans="1:9" x14ac:dyDescent="0.25">
      <c r="A16" s="495"/>
      <c r="B16" s="495"/>
      <c r="C16" s="204"/>
      <c r="D16" s="204"/>
      <c r="E16" s="204"/>
      <c r="F16" s="204"/>
      <c r="G16" s="204"/>
      <c r="H16" s="204"/>
      <c r="I16" s="204">
        <f>SUM(C16:H16)</f>
        <v>0</v>
      </c>
    </row>
    <row r="17" spans="1:9" x14ac:dyDescent="0.25">
      <c r="A17" s="495" t="s">
        <v>843</v>
      </c>
      <c r="B17" s="499">
        <v>2018</v>
      </c>
      <c r="C17" s="204">
        <f>35000000+21500000</f>
        <v>56500000</v>
      </c>
      <c r="D17" s="204">
        <v>21500000</v>
      </c>
      <c r="E17" s="204"/>
      <c r="F17" s="204"/>
      <c r="G17" s="204"/>
      <c r="H17" s="204"/>
      <c r="I17" s="204">
        <f>SUM(C17:H17)</f>
        <v>78000000</v>
      </c>
    </row>
    <row r="18" spans="1:9" s="77" customFormat="1" x14ac:dyDescent="0.25">
      <c r="A18" s="497" t="s">
        <v>844</v>
      </c>
      <c r="B18" s="497"/>
      <c r="C18" s="498">
        <f t="shared" ref="C18:I18" si="2">SUM(C15:C17)</f>
        <v>56500000</v>
      </c>
      <c r="D18" s="498">
        <f t="shared" si="2"/>
        <v>21500000</v>
      </c>
      <c r="E18" s="498">
        <f t="shared" si="2"/>
        <v>0</v>
      </c>
      <c r="F18" s="498">
        <f t="shared" si="2"/>
        <v>0</v>
      </c>
      <c r="G18" s="498">
        <f t="shared" si="2"/>
        <v>0</v>
      </c>
      <c r="H18" s="498">
        <f t="shared" si="2"/>
        <v>0</v>
      </c>
      <c r="I18" s="498">
        <f t="shared" si="2"/>
        <v>78000000</v>
      </c>
    </row>
    <row r="19" spans="1:9" x14ac:dyDescent="0.25">
      <c r="A19" s="495"/>
      <c r="B19" s="495"/>
      <c r="C19" s="204"/>
      <c r="D19" s="204"/>
      <c r="E19" s="204"/>
      <c r="F19" s="204"/>
      <c r="G19" s="204"/>
      <c r="H19" s="204"/>
      <c r="I19" s="204">
        <f>SUM(C19:H19)</f>
        <v>0</v>
      </c>
    </row>
    <row r="20" spans="1:9" x14ac:dyDescent="0.25">
      <c r="A20" s="225"/>
      <c r="B20" s="495"/>
      <c r="C20" s="204"/>
      <c r="D20" s="204"/>
      <c r="E20" s="204"/>
      <c r="F20" s="204"/>
      <c r="G20" s="204"/>
      <c r="H20" s="204"/>
      <c r="I20" s="204">
        <f>SUM(C20:H20)</f>
        <v>0</v>
      </c>
    </row>
    <row r="21" spans="1:9" x14ac:dyDescent="0.25">
      <c r="A21" s="226"/>
      <c r="B21" s="495"/>
      <c r="C21" s="204"/>
      <c r="D21" s="204"/>
      <c r="E21" s="204"/>
      <c r="F21" s="204"/>
      <c r="G21" s="204"/>
      <c r="H21" s="204"/>
      <c r="I21" s="204">
        <f>SUM(C21:H21)</f>
        <v>0</v>
      </c>
    </row>
    <row r="22" spans="1:9" s="77" customFormat="1" x14ac:dyDescent="0.25">
      <c r="A22" s="497" t="s">
        <v>845</v>
      </c>
      <c r="B22" s="497"/>
      <c r="C22" s="498">
        <f t="shared" ref="C22:I22" si="3">SUM(C19:C21)</f>
        <v>0</v>
      </c>
      <c r="D22" s="498">
        <f t="shared" si="3"/>
        <v>0</v>
      </c>
      <c r="E22" s="498">
        <f t="shared" si="3"/>
        <v>0</v>
      </c>
      <c r="F22" s="498">
        <f t="shared" si="3"/>
        <v>0</v>
      </c>
      <c r="G22" s="498">
        <f t="shared" si="3"/>
        <v>0</v>
      </c>
      <c r="H22" s="498">
        <f t="shared" si="3"/>
        <v>0</v>
      </c>
      <c r="I22" s="498">
        <f t="shared" si="3"/>
        <v>0</v>
      </c>
    </row>
    <row r="23" spans="1:9" s="77" customFormat="1" x14ac:dyDescent="0.25">
      <c r="A23" s="500" t="s">
        <v>846</v>
      </c>
      <c r="B23" s="501"/>
      <c r="C23" s="502">
        <f t="shared" ref="C23:I23" si="4">+C22+C18+C14+C11</f>
        <v>56500000</v>
      </c>
      <c r="D23" s="502">
        <f t="shared" si="4"/>
        <v>21500000</v>
      </c>
      <c r="E23" s="502">
        <f t="shared" si="4"/>
        <v>0</v>
      </c>
      <c r="F23" s="502">
        <f t="shared" si="4"/>
        <v>0</v>
      </c>
      <c r="G23" s="502">
        <f t="shared" si="4"/>
        <v>0</v>
      </c>
      <c r="H23" s="502">
        <f t="shared" si="4"/>
        <v>0</v>
      </c>
      <c r="I23" s="502">
        <f t="shared" si="4"/>
        <v>78000000</v>
      </c>
    </row>
    <row r="27" spans="1:9" x14ac:dyDescent="0.25">
      <c r="I27" s="70"/>
    </row>
  </sheetData>
  <sheetProtection selectLockedCells="1" selectUnlockedCells="1"/>
  <mergeCells count="2">
    <mergeCell ref="A3:B3"/>
    <mergeCell ref="A4:I4"/>
  </mergeCells>
  <pageMargins left="0.83958333333333335" right="0.83888888888888891" top="0.74791666666666667" bottom="0.74861111111111112" header="0.51180555555555551" footer="0.31527777777777777"/>
  <pageSetup paperSize="9" scale="81" firstPageNumber="0" orientation="landscape" horizontalDpi="300" verticalDpi="300" r:id="rId1"/>
  <headerFooter alignWithMargins="0"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P259"/>
  <sheetViews>
    <sheetView view="pageBreakPreview" zoomScale="80" zoomScaleSheetLayoutView="80" workbookViewId="0">
      <pane xSplit="3" ySplit="6" topLeftCell="D19" activePane="bottomRight" state="frozen"/>
      <selection activeCell="Y3" sqref="Y3"/>
      <selection pane="topRight" activeCell="Y3" sqref="Y3"/>
      <selection pane="bottomLeft" activeCell="Y3" sqref="Y3"/>
      <selection pane="bottomRight" activeCell="E3" sqref="E3"/>
    </sheetView>
  </sheetViews>
  <sheetFormatPr defaultColWidth="11.5703125" defaultRowHeight="15" x14ac:dyDescent="0.25"/>
  <cols>
    <col min="1" max="1" width="9.140625" style="122" customWidth="1"/>
    <col min="2" max="2" width="58.7109375" style="122" customWidth="1"/>
    <col min="3" max="3" width="9.85546875" style="122" customWidth="1"/>
    <col min="4" max="6" width="13.28515625" style="263" customWidth="1"/>
    <col min="7" max="9" width="13.28515625" style="122" customWidth="1"/>
    <col min="10" max="41" width="11.85546875" style="122" customWidth="1"/>
    <col min="42" max="198" width="9.140625" style="122" customWidth="1"/>
  </cols>
  <sheetData>
    <row r="1" spans="2:42" s="123" customFormat="1" ht="18.75" x14ac:dyDescent="0.25">
      <c r="D1" s="273"/>
      <c r="E1" s="273"/>
      <c r="I1" s="5" t="s">
        <v>914</v>
      </c>
      <c r="J1" s="16"/>
      <c r="K1" s="16"/>
      <c r="M1" s="4"/>
      <c r="N1" s="16"/>
      <c r="P1" s="4"/>
      <c r="Q1" s="4" t="str">
        <f>+I1</f>
        <v>19. melléklet (1)</v>
      </c>
      <c r="S1" s="16"/>
      <c r="V1" s="16"/>
      <c r="W1" s="16"/>
      <c r="Y1" s="4" t="str">
        <f>+I1</f>
        <v>19. melléklet (1)</v>
      </c>
      <c r="Z1" s="16"/>
      <c r="AA1" s="4"/>
      <c r="AC1" s="16"/>
      <c r="AD1" s="16"/>
      <c r="AE1" s="16"/>
      <c r="AG1" s="4" t="str">
        <f>+Y1</f>
        <v>19. melléklet (1)</v>
      </c>
      <c r="AH1" s="16"/>
      <c r="AI1" s="16"/>
      <c r="AJ1" s="16"/>
      <c r="AK1" s="124"/>
      <c r="AL1" s="16"/>
      <c r="AM1" s="124"/>
      <c r="AO1" s="124" t="str">
        <f>+AG1</f>
        <v>19. melléklet (1)</v>
      </c>
    </row>
    <row r="2" spans="2:42" ht="18.75" x14ac:dyDescent="0.3">
      <c r="B2" s="577" t="s">
        <v>767</v>
      </c>
      <c r="C2" s="577"/>
      <c r="I2" s="5" t="str">
        <f>+'14 Könyvt'!I2</f>
        <v>a 2/2020.(II.27. ) önkormányzati rendelethez</v>
      </c>
      <c r="M2" s="5"/>
      <c r="P2" s="4"/>
      <c r="Q2" s="4" t="str">
        <f>+I2</f>
        <v>a 2/2020.(II.27. ) önkormányzati rendelethez</v>
      </c>
      <c r="Y2" s="4" t="str">
        <f>+I2</f>
        <v>a 2/2020.(II.27. ) önkormányzati rendelethez</v>
      </c>
      <c r="AA2" s="4"/>
      <c r="AC2" s="4"/>
      <c r="AG2" s="4" t="str">
        <f>+Y2</f>
        <v>a 2/2020.(II.27. ) önkormányzati rendelethez</v>
      </c>
      <c r="AK2" s="124"/>
      <c r="AM2" s="124"/>
      <c r="AO2" s="4" t="str">
        <f>+AG2</f>
        <v>a 2/2020.(II.27. ) önkormányzati rendelethez</v>
      </c>
    </row>
    <row r="3" spans="2:42" ht="56.25" customHeight="1" x14ac:dyDescent="0.25">
      <c r="B3" s="602" t="s">
        <v>747</v>
      </c>
      <c r="C3" s="608"/>
      <c r="D3" s="309"/>
      <c r="E3" s="309"/>
      <c r="F3" s="406"/>
      <c r="G3" s="309"/>
      <c r="H3" s="309"/>
      <c r="I3" s="309"/>
      <c r="J3" s="270"/>
      <c r="K3" s="270"/>
      <c r="L3" s="107"/>
      <c r="M3" s="107"/>
      <c r="N3" s="107"/>
      <c r="O3" s="107"/>
      <c r="P3" s="107"/>
      <c r="Q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</row>
    <row r="4" spans="2:42" s="128" customFormat="1" ht="12.75" x14ac:dyDescent="0.2">
      <c r="D4" s="274"/>
      <c r="E4" s="274"/>
      <c r="F4" s="407"/>
      <c r="G4" s="107"/>
      <c r="H4" s="107"/>
      <c r="I4" s="107"/>
      <c r="J4" s="604" t="s">
        <v>534</v>
      </c>
      <c r="K4" s="605"/>
      <c r="L4" s="604" t="s">
        <v>534</v>
      </c>
      <c r="M4" s="605"/>
      <c r="N4" s="604" t="s">
        <v>534</v>
      </c>
      <c r="O4" s="605"/>
      <c r="P4" s="604" t="s">
        <v>534</v>
      </c>
      <c r="Q4" s="605"/>
      <c r="R4" s="604" t="s">
        <v>534</v>
      </c>
      <c r="S4" s="605"/>
      <c r="T4" s="604" t="s">
        <v>534</v>
      </c>
      <c r="U4" s="605"/>
      <c r="V4" s="604" t="s">
        <v>534</v>
      </c>
      <c r="W4" s="605"/>
      <c r="X4" s="604" t="s">
        <v>532</v>
      </c>
      <c r="Y4" s="605"/>
      <c r="Z4" s="604" t="s">
        <v>532</v>
      </c>
      <c r="AA4" s="605"/>
      <c r="AB4" s="604" t="s">
        <v>532</v>
      </c>
      <c r="AC4" s="605"/>
      <c r="AD4" s="604" t="s">
        <v>532</v>
      </c>
      <c r="AE4" s="605"/>
      <c r="AF4" s="604" t="s">
        <v>532</v>
      </c>
      <c r="AG4" s="605"/>
      <c r="AH4" s="604" t="s">
        <v>532</v>
      </c>
      <c r="AI4" s="605"/>
      <c r="AJ4" s="604" t="s">
        <v>532</v>
      </c>
      <c r="AK4" s="605"/>
      <c r="AL4" s="604" t="s">
        <v>532</v>
      </c>
      <c r="AM4" s="605"/>
      <c r="AN4" s="597" t="s">
        <v>534</v>
      </c>
      <c r="AO4" s="597"/>
    </row>
    <row r="5" spans="2:42" s="131" customFormat="1" ht="26.25" customHeight="1" x14ac:dyDescent="0.25">
      <c r="D5" s="609" t="s">
        <v>6</v>
      </c>
      <c r="E5" s="609"/>
      <c r="F5" s="609"/>
      <c r="G5" s="609" t="s">
        <v>7</v>
      </c>
      <c r="H5" s="609"/>
      <c r="I5" s="609"/>
      <c r="J5" s="272" t="s">
        <v>535</v>
      </c>
      <c r="K5" s="272" t="s">
        <v>536</v>
      </c>
      <c r="L5" s="430" t="s">
        <v>535</v>
      </c>
      <c r="M5" s="430" t="s">
        <v>536</v>
      </c>
      <c r="N5" s="430" t="s">
        <v>535</v>
      </c>
      <c r="O5" s="430" t="s">
        <v>536</v>
      </c>
      <c r="P5" s="430" t="s">
        <v>535</v>
      </c>
      <c r="Q5" s="430" t="s">
        <v>536</v>
      </c>
      <c r="R5" s="430" t="s">
        <v>535</v>
      </c>
      <c r="S5" s="430" t="s">
        <v>536</v>
      </c>
      <c r="T5" s="430" t="s">
        <v>535</v>
      </c>
      <c r="U5" s="430" t="s">
        <v>536</v>
      </c>
      <c r="V5" s="430" t="s">
        <v>535</v>
      </c>
      <c r="W5" s="430" t="s">
        <v>536</v>
      </c>
      <c r="X5" s="430" t="s">
        <v>535</v>
      </c>
      <c r="Y5" s="430" t="s">
        <v>536</v>
      </c>
      <c r="Z5" s="430" t="s">
        <v>535</v>
      </c>
      <c r="AA5" s="430" t="s">
        <v>536</v>
      </c>
      <c r="AB5" s="430" t="s">
        <v>535</v>
      </c>
      <c r="AC5" s="430" t="s">
        <v>536</v>
      </c>
      <c r="AD5" s="430" t="s">
        <v>535</v>
      </c>
      <c r="AE5" s="430" t="s">
        <v>536</v>
      </c>
      <c r="AF5" s="430" t="s">
        <v>535</v>
      </c>
      <c r="AG5" s="430" t="s">
        <v>536</v>
      </c>
      <c r="AH5" s="430" t="s">
        <v>535</v>
      </c>
      <c r="AI5" s="430" t="s">
        <v>536</v>
      </c>
      <c r="AJ5" s="430" t="s">
        <v>535</v>
      </c>
      <c r="AK5" s="430" t="s">
        <v>536</v>
      </c>
      <c r="AL5" s="430" t="s">
        <v>535</v>
      </c>
      <c r="AM5" s="430" t="s">
        <v>536</v>
      </c>
      <c r="AN5" s="430" t="s">
        <v>535</v>
      </c>
      <c r="AO5" s="430" t="s">
        <v>536</v>
      </c>
    </row>
    <row r="6" spans="2:42" s="390" customFormat="1" ht="83.25" customHeight="1" x14ac:dyDescent="0.25">
      <c r="B6" s="391" t="s">
        <v>8</v>
      </c>
      <c r="C6" s="272" t="s">
        <v>33</v>
      </c>
      <c r="D6" s="275" t="s">
        <v>532</v>
      </c>
      <c r="E6" s="275" t="s">
        <v>534</v>
      </c>
      <c r="F6" s="408" t="s">
        <v>515</v>
      </c>
      <c r="G6" s="275" t="s">
        <v>532</v>
      </c>
      <c r="H6" s="275" t="s">
        <v>534</v>
      </c>
      <c r="I6" s="403" t="s">
        <v>515</v>
      </c>
      <c r="J6" s="606" t="s">
        <v>816</v>
      </c>
      <c r="K6" s="607"/>
      <c r="L6" s="606" t="s">
        <v>815</v>
      </c>
      <c r="M6" s="607"/>
      <c r="N6" s="606" t="s">
        <v>814</v>
      </c>
      <c r="O6" s="607"/>
      <c r="P6" s="606" t="s">
        <v>748</v>
      </c>
      <c r="Q6" s="607"/>
      <c r="R6" s="606" t="s">
        <v>755</v>
      </c>
      <c r="S6" s="607"/>
      <c r="T6" s="606" t="s">
        <v>749</v>
      </c>
      <c r="U6" s="607"/>
      <c r="V6" s="606" t="s">
        <v>817</v>
      </c>
      <c r="W6" s="607"/>
      <c r="X6" s="606" t="s">
        <v>754</v>
      </c>
      <c r="Y6" s="607"/>
      <c r="Z6" s="606" t="s">
        <v>812</v>
      </c>
      <c r="AA6" s="607"/>
      <c r="AB6" s="606" t="s">
        <v>750</v>
      </c>
      <c r="AC6" s="607"/>
      <c r="AD6" s="606" t="s">
        <v>751</v>
      </c>
      <c r="AE6" s="607"/>
      <c r="AF6" s="606" t="s">
        <v>753</v>
      </c>
      <c r="AG6" s="607"/>
      <c r="AH6" s="606" t="s">
        <v>813</v>
      </c>
      <c r="AI6" s="607"/>
      <c r="AJ6" s="606" t="s">
        <v>752</v>
      </c>
      <c r="AK6" s="607"/>
      <c r="AL6" s="606" t="s">
        <v>824</v>
      </c>
      <c r="AM6" s="607"/>
      <c r="AN6" s="606" t="s">
        <v>823</v>
      </c>
      <c r="AO6" s="607"/>
      <c r="AP6" s="405"/>
    </row>
    <row r="7" spans="2:42" x14ac:dyDescent="0.25">
      <c r="B7" s="389" t="s">
        <v>34</v>
      </c>
      <c r="C7" s="271" t="s">
        <v>35</v>
      </c>
      <c r="D7" s="276">
        <f>+Z7+AB7+AD7+AH7+AJ7+X7+AF7+AL7</f>
        <v>4289613</v>
      </c>
      <c r="E7" s="276">
        <f>+J7+L7+N7+P7+R7+T7+V7+AN7</f>
        <v>198890515</v>
      </c>
      <c r="F7" s="136">
        <f>+E7+D7</f>
        <v>203180128</v>
      </c>
      <c r="G7" s="276">
        <f>+AA7+AC7+AE7+AI7+AK7+Y7+AG7+AM7</f>
        <v>4289613</v>
      </c>
      <c r="H7" s="276">
        <f>+K7+M7+O7+Q7+S7+U7+W7+AO7</f>
        <v>195126642</v>
      </c>
      <c r="I7" s="314">
        <f>+H7+G7</f>
        <v>199416255</v>
      </c>
      <c r="J7" s="264">
        <f>609000-152471-310000</f>
        <v>146529</v>
      </c>
      <c r="K7" s="264">
        <f>609000-152471-310000</f>
        <v>146529</v>
      </c>
      <c r="L7" s="264">
        <f>6352000-3593252-2758748</f>
        <v>0</v>
      </c>
      <c r="M7" s="264"/>
      <c r="N7" s="264">
        <v>8893000</v>
      </c>
      <c r="O7" s="264">
        <v>8893000</v>
      </c>
      <c r="P7" s="264">
        <f>35310000-8788753-14898414</f>
        <v>11622833</v>
      </c>
      <c r="Q7" s="264">
        <f>35310000-8788753-14898414-1593561</f>
        <v>10029272</v>
      </c>
      <c r="R7" s="264">
        <f>308000000-50661029-6046656*2-5575553-R23-3467760-54000000</f>
        <v>174750490</v>
      </c>
      <c r="S7" s="264">
        <f>308000000-50661029-6046656*2-5575553-S23-3467760-54000000-2331000</f>
        <v>172419490</v>
      </c>
      <c r="T7" s="264">
        <f>12011000-245000*18-1379040-2987775</f>
        <v>3234185</v>
      </c>
      <c r="U7" s="264">
        <f>12011000-245000*18-1379040-2987775</f>
        <v>3234185</v>
      </c>
      <c r="V7" s="264">
        <f>295125-V10</f>
        <v>243478</v>
      </c>
      <c r="W7" s="264">
        <f>243478+160688</f>
        <v>404166</v>
      </c>
      <c r="X7" s="264">
        <f>10800000-3915902+31553-3600000+32398</f>
        <v>3348049</v>
      </c>
      <c r="Y7" s="264">
        <f>10800000-3915902+31553-3600000+32398</f>
        <v>3348049</v>
      </c>
      <c r="Z7" s="264">
        <v>0</v>
      </c>
      <c r="AA7" s="264"/>
      <c r="AB7" s="264">
        <v>0</v>
      </c>
      <c r="AC7" s="264"/>
      <c r="AD7" s="264"/>
      <c r="AE7" s="264"/>
      <c r="AF7" s="264"/>
      <c r="AG7" s="264"/>
      <c r="AH7" s="264"/>
      <c r="AI7" s="264"/>
      <c r="AJ7" s="264">
        <f>1817564-876000</f>
        <v>941564</v>
      </c>
      <c r="AK7" s="264">
        <f>1817564-876000</f>
        <v>941564</v>
      </c>
      <c r="AL7" s="264">
        <v>0</v>
      </c>
      <c r="AM7" s="264"/>
      <c r="AN7" s="264">
        <v>0</v>
      </c>
      <c r="AO7" s="264"/>
    </row>
    <row r="8" spans="2:42" x14ac:dyDescent="0.25">
      <c r="B8" s="139" t="s">
        <v>36</v>
      </c>
      <c r="C8" s="134" t="s">
        <v>37</v>
      </c>
      <c r="D8" s="276">
        <f>+Z8+AB8+AD8+AH8+AJ8+X8+AF8+AL8</f>
        <v>0</v>
      </c>
      <c r="E8" s="276">
        <f>+J8+L8+N8+P8+R8+T8+V8+AN8</f>
        <v>10987241</v>
      </c>
      <c r="F8" s="136">
        <f>+E8+D8</f>
        <v>10987241</v>
      </c>
      <c r="G8" s="276">
        <f>+AA8+AC8+AE8+AI8+AK8+Y8+AG8+AM8</f>
        <v>0</v>
      </c>
      <c r="H8" s="276">
        <f>+K8+M8+O8+Q8+S8+U8+W8+AO8</f>
        <v>12187241</v>
      </c>
      <c r="I8" s="314">
        <f>+H8+G8</f>
        <v>12187241</v>
      </c>
      <c r="J8" s="264">
        <v>0</v>
      </c>
      <c r="K8" s="264">
        <v>0</v>
      </c>
      <c r="L8" s="264">
        <f>6298000-1197751*3-2704747</f>
        <v>0</v>
      </c>
      <c r="M8" s="264"/>
      <c r="N8" s="264">
        <v>6835000</v>
      </c>
      <c r="O8" s="264">
        <v>6835000</v>
      </c>
      <c r="P8" s="264"/>
      <c r="Q8" s="264">
        <v>1200000</v>
      </c>
      <c r="R8" s="264">
        <v>0</v>
      </c>
      <c r="S8" s="264">
        <v>0</v>
      </c>
      <c r="T8" s="264">
        <f>5738000-T23-232159</f>
        <v>4152241</v>
      </c>
      <c r="U8" s="264">
        <f>5738000-U23-232159</f>
        <v>4152241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/>
      <c r="AB8" s="264">
        <v>0</v>
      </c>
      <c r="AC8" s="264"/>
      <c r="AD8" s="264">
        <v>0</v>
      </c>
      <c r="AE8" s="264"/>
      <c r="AF8" s="264">
        <v>0</v>
      </c>
      <c r="AG8" s="264"/>
      <c r="AH8" s="264">
        <v>0</v>
      </c>
      <c r="AI8" s="264"/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0</v>
      </c>
    </row>
    <row r="9" spans="2:42" s="140" customFormat="1" ht="12.75" x14ac:dyDescent="0.2">
      <c r="B9" s="141" t="s">
        <v>38</v>
      </c>
      <c r="C9" s="142" t="s">
        <v>39</v>
      </c>
      <c r="D9" s="143">
        <f t="shared" ref="D9:I9" si="0">+D7+D8</f>
        <v>4289613</v>
      </c>
      <c r="E9" s="143">
        <f t="shared" si="0"/>
        <v>209877756</v>
      </c>
      <c r="F9" s="143">
        <f t="shared" si="0"/>
        <v>214167369</v>
      </c>
      <c r="G9" s="143">
        <f t="shared" si="0"/>
        <v>4289613</v>
      </c>
      <c r="H9" s="143">
        <f t="shared" si="0"/>
        <v>207313883</v>
      </c>
      <c r="I9" s="143">
        <f t="shared" si="0"/>
        <v>211603496</v>
      </c>
      <c r="J9" s="318">
        <f>SUM(J7:J8)</f>
        <v>146529</v>
      </c>
      <c r="K9" s="318">
        <f>SUM(K7:K8)</f>
        <v>146529</v>
      </c>
      <c r="L9" s="318">
        <f t="shared" ref="L9:AO9" si="1">SUM(L7:L8)</f>
        <v>0</v>
      </c>
      <c r="M9" s="318">
        <f t="shared" si="1"/>
        <v>0</v>
      </c>
      <c r="N9" s="318">
        <f t="shared" si="1"/>
        <v>15728000</v>
      </c>
      <c r="O9" s="318">
        <f t="shared" si="1"/>
        <v>15728000</v>
      </c>
      <c r="P9" s="318">
        <f t="shared" si="1"/>
        <v>11622833</v>
      </c>
      <c r="Q9" s="318">
        <f t="shared" si="1"/>
        <v>11229272</v>
      </c>
      <c r="R9" s="318">
        <f t="shared" si="1"/>
        <v>174750490</v>
      </c>
      <c r="S9" s="318">
        <f t="shared" si="1"/>
        <v>172419490</v>
      </c>
      <c r="T9" s="318">
        <f t="shared" si="1"/>
        <v>7386426</v>
      </c>
      <c r="U9" s="318">
        <f t="shared" si="1"/>
        <v>7386426</v>
      </c>
      <c r="V9" s="318">
        <f t="shared" si="1"/>
        <v>243478</v>
      </c>
      <c r="W9" s="318">
        <f t="shared" si="1"/>
        <v>404166</v>
      </c>
      <c r="X9" s="318">
        <f t="shared" si="1"/>
        <v>3348049</v>
      </c>
      <c r="Y9" s="318">
        <f t="shared" si="1"/>
        <v>3348049</v>
      </c>
      <c r="Z9" s="318">
        <f t="shared" si="1"/>
        <v>0</v>
      </c>
      <c r="AA9" s="318">
        <f t="shared" si="1"/>
        <v>0</v>
      </c>
      <c r="AB9" s="318">
        <f t="shared" si="1"/>
        <v>0</v>
      </c>
      <c r="AC9" s="318">
        <f t="shared" si="1"/>
        <v>0</v>
      </c>
      <c r="AD9" s="318">
        <f t="shared" si="1"/>
        <v>0</v>
      </c>
      <c r="AE9" s="318">
        <f t="shared" si="1"/>
        <v>0</v>
      </c>
      <c r="AF9" s="318">
        <f t="shared" si="1"/>
        <v>0</v>
      </c>
      <c r="AG9" s="318">
        <f t="shared" si="1"/>
        <v>0</v>
      </c>
      <c r="AH9" s="318">
        <f t="shared" si="1"/>
        <v>0</v>
      </c>
      <c r="AI9" s="318">
        <f t="shared" si="1"/>
        <v>0</v>
      </c>
      <c r="AJ9" s="318">
        <f t="shared" si="1"/>
        <v>941564</v>
      </c>
      <c r="AK9" s="318">
        <f t="shared" si="1"/>
        <v>941564</v>
      </c>
      <c r="AL9" s="318">
        <f t="shared" si="1"/>
        <v>0</v>
      </c>
      <c r="AM9" s="318">
        <f t="shared" si="1"/>
        <v>0</v>
      </c>
      <c r="AN9" s="318">
        <f t="shared" si="1"/>
        <v>0</v>
      </c>
      <c r="AO9" s="318">
        <f t="shared" si="1"/>
        <v>0</v>
      </c>
    </row>
    <row r="10" spans="2:42" s="140" customFormat="1" ht="12.75" x14ac:dyDescent="0.2">
      <c r="B10" s="144" t="s">
        <v>561</v>
      </c>
      <c r="C10" s="142" t="s">
        <v>41</v>
      </c>
      <c r="D10" s="285">
        <f t="shared" ref="D10:D15" si="2">+Z10+AB10+AD10+AH10+AJ10+X10+AF10+AL10</f>
        <v>1594325</v>
      </c>
      <c r="E10" s="285">
        <f t="shared" ref="E10:E15" si="3">+J10+L10+N10+P10+R10+T10+V10+AN10</f>
        <v>50490366</v>
      </c>
      <c r="F10" s="289">
        <f t="shared" ref="F10:F15" si="4">+E10+D10</f>
        <v>52084691</v>
      </c>
      <c r="G10" s="285">
        <f t="shared" ref="G10:G15" si="5">+AA10+AC10+AE10+AI10+AK10+Y10+AG10+AM10</f>
        <v>1594325</v>
      </c>
      <c r="H10" s="285">
        <f t="shared" ref="H10:H15" si="6">+K10+M10+O10+Q10+S10+U10+W10+AO10</f>
        <v>49582682</v>
      </c>
      <c r="I10" s="334">
        <f t="shared" ref="I10:I15" si="7">+H10+G10</f>
        <v>51177007</v>
      </c>
      <c r="J10" s="319">
        <f>134000-29732-54250+8588</f>
        <v>58606</v>
      </c>
      <c r="K10" s="319">
        <f>134000-29732-54250+8588</f>
        <v>58606</v>
      </c>
      <c r="L10" s="319">
        <f>1398000+1700000-700684+233561*3-3097999</f>
        <v>0</v>
      </c>
      <c r="M10" s="319"/>
      <c r="N10" s="319">
        <f>1957000+1845000</f>
        <v>3802000</v>
      </c>
      <c r="O10" s="319">
        <f>1957000+1845000</f>
        <v>3802000</v>
      </c>
      <c r="P10" s="319">
        <f>4334589-2694150</f>
        <v>1640439</v>
      </c>
      <c r="Q10" s="319">
        <f>4334589-2694150+393561</f>
        <v>2034000</v>
      </c>
      <c r="R10" s="319">
        <f>67828000-9761863-8158488-7000000</f>
        <v>42907649</v>
      </c>
      <c r="S10" s="319">
        <f>67828000-9761863-8158488-7000000-1320000</f>
        <v>41587649</v>
      </c>
      <c r="T10" s="319">
        <f>2129000+1262000-47775*18-501025</f>
        <v>2030025</v>
      </c>
      <c r="U10" s="319">
        <f>2129000+1262000-47775*18-501025</f>
        <v>2030025</v>
      </c>
      <c r="V10" s="319">
        <f>ROUNDUP(295125*0.175,0)</f>
        <v>51647</v>
      </c>
      <c r="W10" s="319">
        <v>70402</v>
      </c>
      <c r="X10" s="319">
        <f>2376000-351000-631800</f>
        <v>1393200</v>
      </c>
      <c r="Y10" s="319">
        <f>2376000-351000-631800</f>
        <v>1393200</v>
      </c>
      <c r="Z10" s="319">
        <v>0</v>
      </c>
      <c r="AA10" s="319"/>
      <c r="AB10" s="319">
        <v>0</v>
      </c>
      <c r="AC10" s="319"/>
      <c r="AD10" s="319"/>
      <c r="AE10" s="319"/>
      <c r="AF10" s="319"/>
      <c r="AG10" s="319"/>
      <c r="AH10" s="319"/>
      <c r="AI10" s="319"/>
      <c r="AJ10" s="319">
        <f>354425-153300</f>
        <v>201125</v>
      </c>
      <c r="AK10" s="319">
        <f>354425-153300</f>
        <v>201125</v>
      </c>
      <c r="AL10" s="319">
        <v>0</v>
      </c>
      <c r="AM10" s="319"/>
      <c r="AN10" s="319">
        <v>0</v>
      </c>
      <c r="AO10" s="319"/>
    </row>
    <row r="11" spans="2:42" x14ac:dyDescent="0.25">
      <c r="B11" s="139" t="s">
        <v>42</v>
      </c>
      <c r="C11" s="134" t="s">
        <v>43</v>
      </c>
      <c r="D11" s="276">
        <f t="shared" si="2"/>
        <v>0</v>
      </c>
      <c r="E11" s="276">
        <f t="shared" si="3"/>
        <v>1980125</v>
      </c>
      <c r="F11" s="136">
        <f t="shared" si="4"/>
        <v>1980125</v>
      </c>
      <c r="G11" s="276">
        <f t="shared" si="5"/>
        <v>0</v>
      </c>
      <c r="H11" s="276">
        <f t="shared" si="6"/>
        <v>1980125</v>
      </c>
      <c r="I11" s="314">
        <f t="shared" si="7"/>
        <v>1980125</v>
      </c>
      <c r="J11" s="264"/>
      <c r="K11" s="264"/>
      <c r="L11" s="264"/>
      <c r="M11" s="264"/>
      <c r="N11" s="264"/>
      <c r="O11" s="264"/>
      <c r="P11" s="264">
        <f>2000000-788291</f>
        <v>1211709</v>
      </c>
      <c r="Q11" s="264">
        <f>2000000-788291</f>
        <v>1211709</v>
      </c>
      <c r="R11" s="264">
        <f>1500000-927297</f>
        <v>572703</v>
      </c>
      <c r="S11" s="264">
        <f>1500000-927297</f>
        <v>572703</v>
      </c>
      <c r="T11" s="264">
        <f>400000-204287</f>
        <v>195713</v>
      </c>
      <c r="U11" s="264">
        <f>400000-204287</f>
        <v>195713</v>
      </c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</row>
    <row r="12" spans="2:42" x14ac:dyDescent="0.25">
      <c r="B12" s="139" t="s">
        <v>44</v>
      </c>
      <c r="C12" s="134" t="s">
        <v>45</v>
      </c>
      <c r="D12" s="276">
        <f t="shared" si="2"/>
        <v>0</v>
      </c>
      <c r="E12" s="276">
        <f t="shared" si="3"/>
        <v>394943</v>
      </c>
      <c r="F12" s="136">
        <f t="shared" si="4"/>
        <v>394943</v>
      </c>
      <c r="G12" s="276">
        <f t="shared" si="5"/>
        <v>0</v>
      </c>
      <c r="H12" s="276">
        <f t="shared" si="6"/>
        <v>694943</v>
      </c>
      <c r="I12" s="314">
        <f t="shared" si="7"/>
        <v>694943</v>
      </c>
      <c r="J12" s="264"/>
      <c r="K12" s="264"/>
      <c r="L12" s="264"/>
      <c r="M12" s="264"/>
      <c r="N12" s="264"/>
      <c r="O12" s="264"/>
      <c r="P12" s="264"/>
      <c r="Q12" s="264"/>
      <c r="R12" s="264">
        <f>649000-33710-520347+300000</f>
        <v>394943</v>
      </c>
      <c r="S12" s="264">
        <f>649000-33710-520347+300000+300000</f>
        <v>694943</v>
      </c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</row>
    <row r="13" spans="2:42" x14ac:dyDescent="0.25">
      <c r="B13" s="139" t="s">
        <v>46</v>
      </c>
      <c r="C13" s="134" t="s">
        <v>47</v>
      </c>
      <c r="D13" s="276">
        <f t="shared" si="2"/>
        <v>52447869</v>
      </c>
      <c r="E13" s="276">
        <f t="shared" si="3"/>
        <v>137902484</v>
      </c>
      <c r="F13" s="136">
        <f t="shared" si="4"/>
        <v>190350353</v>
      </c>
      <c r="G13" s="276">
        <f t="shared" si="5"/>
        <v>52404562</v>
      </c>
      <c r="H13" s="276">
        <f t="shared" si="6"/>
        <v>137602484</v>
      </c>
      <c r="I13" s="314">
        <f t="shared" si="7"/>
        <v>190007046</v>
      </c>
      <c r="J13" s="264"/>
      <c r="K13" s="264"/>
      <c r="L13" s="264">
        <f>ROUNDUP((7321550+2636520+2046000)/1.27,0)+714217+748011</f>
        <v>10914252</v>
      </c>
      <c r="M13" s="264">
        <f>ROUNDUP((7321550+2636520+2046000)/1.27,0)+714217+748011</f>
        <v>10914252</v>
      </c>
      <c r="N13" s="264">
        <v>9642000</v>
      </c>
      <c r="O13" s="264">
        <v>9642000</v>
      </c>
      <c r="P13" s="264">
        <f>49375800+15095058-30893740-2937400-301789-200000</f>
        <v>30137929</v>
      </c>
      <c r="Q13" s="264">
        <f>49375800+15095058-30893740-2937400-301789-200000</f>
        <v>30137929</v>
      </c>
      <c r="R13" s="264">
        <f>20000000+12371027-10842981-1726384-300000</f>
        <v>19501662</v>
      </c>
      <c r="S13" s="264">
        <f>20000000+12371027-10842981-1726384-300000-300000</f>
        <v>19201662</v>
      </c>
      <c r="T13" s="264">
        <f>29487000-10822417-487874-1127500-79076-100000+905799-3765000-635000</f>
        <v>13375932</v>
      </c>
      <c r="U13" s="264">
        <f>29487000-10822417-487874-1127500-79076-100000+905799-3765000-635000</f>
        <v>13375932</v>
      </c>
      <c r="V13" s="264"/>
      <c r="W13" s="264"/>
      <c r="X13" s="264">
        <f>16629000-11889000</f>
        <v>4740000</v>
      </c>
      <c r="Y13" s="264">
        <f>16629000-11889000</f>
        <v>4740000</v>
      </c>
      <c r="Z13" s="264">
        <v>0</v>
      </c>
      <c r="AA13" s="264"/>
      <c r="AB13" s="264">
        <f>1535000*2+1232595</f>
        <v>4302595</v>
      </c>
      <c r="AC13" s="264">
        <f>1535000*2+1232595-43307</f>
        <v>4259288</v>
      </c>
      <c r="AD13" s="264">
        <f>31690000+300</f>
        <v>31690300</v>
      </c>
      <c r="AE13" s="264">
        <f>31690000+300</f>
        <v>31690300</v>
      </c>
      <c r="AF13" s="264">
        <f>14724000-3502000-6420000-94488+1000000</f>
        <v>5707512</v>
      </c>
      <c r="AG13" s="264">
        <f>14724000-3502000-6420000-94488+1000000</f>
        <v>5707512</v>
      </c>
      <c r="AH13" s="264">
        <f>4139000-1506007-300852</f>
        <v>2332141</v>
      </c>
      <c r="AI13" s="264">
        <f>4139000-1506007-300852</f>
        <v>2332141</v>
      </c>
      <c r="AJ13" s="264">
        <f>806069+2869252</f>
        <v>3675321</v>
      </c>
      <c r="AK13" s="264">
        <f>806069+2869252</f>
        <v>3675321</v>
      </c>
      <c r="AL13" s="264">
        <v>0</v>
      </c>
      <c r="AM13" s="264"/>
      <c r="AN13" s="264">
        <f>ROUNDUP(69000000/1.27,0)</f>
        <v>54330709</v>
      </c>
      <c r="AO13" s="264">
        <f>ROUNDUP(69000000/1.27,0)</f>
        <v>54330709</v>
      </c>
    </row>
    <row r="14" spans="2:42" x14ac:dyDescent="0.25">
      <c r="B14" s="139" t="s">
        <v>48</v>
      </c>
      <c r="C14" s="134" t="s">
        <v>49</v>
      </c>
      <c r="D14" s="276">
        <f t="shared" si="2"/>
        <v>0</v>
      </c>
      <c r="E14" s="276">
        <f t="shared" si="3"/>
        <v>39052709</v>
      </c>
      <c r="F14" s="136">
        <f t="shared" si="4"/>
        <v>39052709</v>
      </c>
      <c r="G14" s="276">
        <f t="shared" si="5"/>
        <v>43307</v>
      </c>
      <c r="H14" s="276">
        <f t="shared" si="6"/>
        <v>38696299</v>
      </c>
      <c r="I14" s="314">
        <f t="shared" si="7"/>
        <v>38739606</v>
      </c>
      <c r="J14" s="264"/>
      <c r="K14" s="264"/>
      <c r="L14" s="264"/>
      <c r="M14" s="264"/>
      <c r="N14" s="264"/>
      <c r="O14" s="264"/>
      <c r="P14" s="388">
        <f>200000</f>
        <v>200000</v>
      </c>
      <c r="Q14" s="388">
        <f>200000</f>
        <v>200000</v>
      </c>
      <c r="R14" s="264">
        <f>43150000-2077555-2509510</f>
        <v>38562935</v>
      </c>
      <c r="S14" s="264">
        <f>43150000-2077555-2509510-313103-43307</f>
        <v>38206525</v>
      </c>
      <c r="T14" s="264">
        <f>525000-55697-44469-94320-40740</f>
        <v>289774</v>
      </c>
      <c r="U14" s="264">
        <f>525000-55697-44469-94320-40740</f>
        <v>289774</v>
      </c>
      <c r="V14" s="264"/>
      <c r="W14" s="264"/>
      <c r="X14" s="264"/>
      <c r="Y14" s="264"/>
      <c r="Z14" s="264"/>
      <c r="AA14" s="264"/>
      <c r="AB14" s="264"/>
      <c r="AC14" s="264">
        <v>43307</v>
      </c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</row>
    <row r="15" spans="2:42" x14ac:dyDescent="0.25">
      <c r="B15" s="139" t="s">
        <v>50</v>
      </c>
      <c r="C15" s="134" t="s">
        <v>51</v>
      </c>
      <c r="D15" s="276">
        <f t="shared" si="2"/>
        <v>14507793</v>
      </c>
      <c r="E15" s="276">
        <f t="shared" si="3"/>
        <v>52667975</v>
      </c>
      <c r="F15" s="136">
        <f t="shared" si="4"/>
        <v>67175768</v>
      </c>
      <c r="G15" s="276">
        <f t="shared" si="5"/>
        <v>14507793</v>
      </c>
      <c r="H15" s="276">
        <f t="shared" si="6"/>
        <v>52667975</v>
      </c>
      <c r="I15" s="314">
        <f t="shared" si="7"/>
        <v>67175768</v>
      </c>
      <c r="J15" s="264"/>
      <c r="K15" s="264"/>
      <c r="L15" s="264">
        <f>ROUNDUP((7321550+2636520+2046000)*0.27,0)+8851000</f>
        <v>12092099</v>
      </c>
      <c r="M15" s="264">
        <f>ROUNDUP((7321550+2636520+2046000)*0.27,0)+8851000</f>
        <v>12092099</v>
      </c>
      <c r="N15" s="264">
        <v>2603000</v>
      </c>
      <c r="O15" s="264">
        <v>2603000</v>
      </c>
      <c r="P15" s="264">
        <f>17310473-12316435-42000</f>
        <v>4952038</v>
      </c>
      <c r="Q15" s="264">
        <f>17310473-12316435-42000</f>
        <v>4952038</v>
      </c>
      <c r="R15" s="264">
        <f>18001009+2970000-4217189-1349631</f>
        <v>15404189</v>
      </c>
      <c r="S15" s="264">
        <f>18001009+2970000-4217189-1349631</f>
        <v>15404189</v>
      </c>
      <c r="T15" s="264">
        <f>7962000-3074320-35519-1257926-400000-728806</f>
        <v>2465429</v>
      </c>
      <c r="U15" s="264">
        <f>7962000-3074320-35519-1257926-400000-728806</f>
        <v>2465429</v>
      </c>
      <c r="V15" s="264"/>
      <c r="W15" s="264"/>
      <c r="X15" s="264">
        <f>4490000-2970000</f>
        <v>1520000</v>
      </c>
      <c r="Y15" s="264">
        <f>4490000-2970000</f>
        <v>1520000</v>
      </c>
      <c r="Z15" s="264">
        <v>0</v>
      </c>
      <c r="AA15" s="264"/>
      <c r="AB15" s="264">
        <f>ROUNDUP(+AB13*0.27,0)-1</f>
        <v>1161700</v>
      </c>
      <c r="AC15" s="264">
        <v>1161700</v>
      </c>
      <c r="AD15" s="264">
        <v>8556000</v>
      </c>
      <c r="AE15" s="264">
        <v>8556000</v>
      </c>
      <c r="AF15" s="264">
        <f>3975000-848070-430512-1500000+270000+100980</f>
        <v>1567398</v>
      </c>
      <c r="AG15" s="264">
        <f>3975000-848070-430512-1500000+270000+100980</f>
        <v>1567398</v>
      </c>
      <c r="AH15" s="264">
        <f>1117000-406641</f>
        <v>710359</v>
      </c>
      <c r="AI15" s="264">
        <f>1117000-406641</f>
        <v>710359</v>
      </c>
      <c r="AJ15" s="264">
        <f>217638+774698</f>
        <v>992336</v>
      </c>
      <c r="AK15" s="264">
        <f>217638+774698</f>
        <v>992336</v>
      </c>
      <c r="AL15" s="264">
        <v>0</v>
      </c>
      <c r="AM15" s="264"/>
      <c r="AN15" s="264">
        <v>15151220</v>
      </c>
      <c r="AO15" s="264">
        <v>15151220</v>
      </c>
    </row>
    <row r="16" spans="2:42" s="140" customFormat="1" ht="12.75" x14ac:dyDescent="0.2">
      <c r="B16" s="144" t="s">
        <v>52</v>
      </c>
      <c r="C16" s="142" t="s">
        <v>53</v>
      </c>
      <c r="D16" s="143">
        <f t="shared" ref="D16:J16" si="8">SUM(D11:D15)</f>
        <v>66955662</v>
      </c>
      <c r="E16" s="143">
        <f t="shared" si="8"/>
        <v>231998236</v>
      </c>
      <c r="F16" s="143">
        <f t="shared" si="8"/>
        <v>298953898</v>
      </c>
      <c r="G16" s="143">
        <f t="shared" si="8"/>
        <v>66955662</v>
      </c>
      <c r="H16" s="143">
        <f t="shared" si="8"/>
        <v>231641826</v>
      </c>
      <c r="I16" s="315">
        <f>SUM(I11:I15)</f>
        <v>298597488</v>
      </c>
      <c r="J16" s="318">
        <f t="shared" si="8"/>
        <v>0</v>
      </c>
      <c r="K16" s="318">
        <f>SUM(K11:K15)</f>
        <v>0</v>
      </c>
      <c r="L16" s="318">
        <f t="shared" ref="L16:AO16" si="9">SUM(L11:L15)</f>
        <v>23006351</v>
      </c>
      <c r="M16" s="318">
        <f t="shared" si="9"/>
        <v>23006351</v>
      </c>
      <c r="N16" s="318">
        <f t="shared" si="9"/>
        <v>12245000</v>
      </c>
      <c r="O16" s="318">
        <f t="shared" si="9"/>
        <v>12245000</v>
      </c>
      <c r="P16" s="318">
        <f t="shared" si="9"/>
        <v>36501676</v>
      </c>
      <c r="Q16" s="318">
        <f t="shared" si="9"/>
        <v>36501676</v>
      </c>
      <c r="R16" s="318">
        <f t="shared" si="9"/>
        <v>74436432</v>
      </c>
      <c r="S16" s="318">
        <f t="shared" si="9"/>
        <v>74080022</v>
      </c>
      <c r="T16" s="318">
        <f t="shared" si="9"/>
        <v>16326848</v>
      </c>
      <c r="U16" s="318">
        <f t="shared" si="9"/>
        <v>16326848</v>
      </c>
      <c r="V16" s="318">
        <f t="shared" si="9"/>
        <v>0</v>
      </c>
      <c r="W16" s="318">
        <f t="shared" si="9"/>
        <v>0</v>
      </c>
      <c r="X16" s="318">
        <f t="shared" si="9"/>
        <v>6260000</v>
      </c>
      <c r="Y16" s="318">
        <f t="shared" si="9"/>
        <v>6260000</v>
      </c>
      <c r="Z16" s="318">
        <f t="shared" si="9"/>
        <v>0</v>
      </c>
      <c r="AA16" s="318">
        <f t="shared" si="9"/>
        <v>0</v>
      </c>
      <c r="AB16" s="318">
        <f t="shared" si="9"/>
        <v>5464295</v>
      </c>
      <c r="AC16" s="318">
        <f t="shared" si="9"/>
        <v>5464295</v>
      </c>
      <c r="AD16" s="318">
        <f t="shared" si="9"/>
        <v>40246300</v>
      </c>
      <c r="AE16" s="318">
        <f t="shared" si="9"/>
        <v>40246300</v>
      </c>
      <c r="AF16" s="318">
        <f t="shared" si="9"/>
        <v>7274910</v>
      </c>
      <c r="AG16" s="318">
        <f t="shared" si="9"/>
        <v>7274910</v>
      </c>
      <c r="AH16" s="318">
        <f t="shared" si="9"/>
        <v>3042500</v>
      </c>
      <c r="AI16" s="318">
        <f t="shared" si="9"/>
        <v>3042500</v>
      </c>
      <c r="AJ16" s="318">
        <f t="shared" si="9"/>
        <v>4667657</v>
      </c>
      <c r="AK16" s="318">
        <f t="shared" si="9"/>
        <v>4667657</v>
      </c>
      <c r="AL16" s="318">
        <f t="shared" si="9"/>
        <v>0</v>
      </c>
      <c r="AM16" s="318">
        <f t="shared" si="9"/>
        <v>0</v>
      </c>
      <c r="AN16" s="318">
        <f t="shared" si="9"/>
        <v>69481929</v>
      </c>
      <c r="AO16" s="318">
        <f t="shared" si="9"/>
        <v>69481929</v>
      </c>
    </row>
    <row r="17" spans="2:41" s="140" customFormat="1" ht="12.75" x14ac:dyDescent="0.2">
      <c r="B17" s="147" t="s">
        <v>54</v>
      </c>
      <c r="C17" s="142" t="s">
        <v>55</v>
      </c>
      <c r="D17" s="278"/>
      <c r="E17" s="278"/>
      <c r="F17" s="145"/>
      <c r="G17" s="145"/>
      <c r="H17" s="145"/>
      <c r="I17" s="316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</row>
    <row r="18" spans="2:41" hidden="1" x14ac:dyDescent="0.25">
      <c r="B18" s="148" t="s">
        <v>56</v>
      </c>
      <c r="C18" s="134" t="s">
        <v>57</v>
      </c>
      <c r="D18" s="277"/>
      <c r="E18" s="277"/>
      <c r="F18" s="135"/>
      <c r="G18" s="135"/>
      <c r="H18" s="135"/>
      <c r="I18" s="317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</row>
    <row r="19" spans="2:41" x14ac:dyDescent="0.25">
      <c r="B19" s="148" t="s">
        <v>58</v>
      </c>
      <c r="C19" s="134" t="s">
        <v>59</v>
      </c>
      <c r="D19" s="276">
        <f>+Z19+AB19+AD19+AH19+AJ19+X19+AF19+AL19</f>
        <v>0</v>
      </c>
      <c r="E19" s="276">
        <f>+J19+L19+N19+P19+R19+T19+V19+AN19</f>
        <v>0</v>
      </c>
      <c r="F19" s="136">
        <f>+E19+D19</f>
        <v>0</v>
      </c>
      <c r="G19" s="276">
        <f>+AA19+AC19+AE19+AI19+AK19+Y19+AG19+AM19</f>
        <v>0</v>
      </c>
      <c r="H19" s="276">
        <f>+K19+M19+O19+Q19+S19+U19+W19+AO19</f>
        <v>0</v>
      </c>
      <c r="I19" s="314">
        <f>+H19+G19</f>
        <v>0</v>
      </c>
      <c r="J19" s="264"/>
      <c r="K19" s="264"/>
      <c r="L19" s="341"/>
      <c r="M19" s="341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</row>
    <row r="20" spans="2:41" hidden="1" x14ac:dyDescent="0.25">
      <c r="B20" s="148" t="s">
        <v>562</v>
      </c>
      <c r="C20" s="134" t="s">
        <v>61</v>
      </c>
      <c r="D20" s="277"/>
      <c r="E20" s="277"/>
      <c r="F20" s="135">
        <f t="shared" ref="F20:F28" si="10">+E20+D20</f>
        <v>0</v>
      </c>
      <c r="G20" s="276">
        <f>+AA20+AC20+AE20+AI20+AK20+Y20+AG20</f>
        <v>0</v>
      </c>
      <c r="H20" s="276">
        <f>+K20+M20+O20+Q20+S20+U20+W20</f>
        <v>0</v>
      </c>
      <c r="I20" s="317">
        <f t="shared" ref="I20:I28" si="11">+H20+G20</f>
        <v>0</v>
      </c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</row>
    <row r="21" spans="2:41" hidden="1" x14ac:dyDescent="0.25">
      <c r="B21" s="148" t="s">
        <v>563</v>
      </c>
      <c r="C21" s="134" t="s">
        <v>63</v>
      </c>
      <c r="D21" s="277"/>
      <c r="E21" s="277"/>
      <c r="F21" s="135">
        <f t="shared" si="10"/>
        <v>0</v>
      </c>
      <c r="G21" s="276">
        <f>+AA21+AC21+AE21+AI21+AK21+Y21+AG21</f>
        <v>0</v>
      </c>
      <c r="H21" s="276">
        <f>+K21+M21+O21+Q21+S21+U21+W21</f>
        <v>0</v>
      </c>
      <c r="I21" s="317">
        <f t="shared" si="11"/>
        <v>0</v>
      </c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</row>
    <row r="22" spans="2:41" hidden="1" x14ac:dyDescent="0.25">
      <c r="B22" s="148" t="s">
        <v>564</v>
      </c>
      <c r="C22" s="134" t="s">
        <v>65</v>
      </c>
      <c r="D22" s="277"/>
      <c r="E22" s="277"/>
      <c r="F22" s="135">
        <f t="shared" si="10"/>
        <v>0</v>
      </c>
      <c r="G22" s="276">
        <f>+AA22+AC22+AE22+AI22+AK22+Y22+AG22</f>
        <v>0</v>
      </c>
      <c r="H22" s="276">
        <f>+K22+M22+O22+Q22+S22+U22+W22</f>
        <v>0</v>
      </c>
      <c r="I22" s="317">
        <f t="shared" si="11"/>
        <v>0</v>
      </c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</row>
    <row r="23" spans="2:41" x14ac:dyDescent="0.25">
      <c r="B23" s="148" t="s">
        <v>66</v>
      </c>
      <c r="C23" s="134" t="s">
        <v>67</v>
      </c>
      <c r="D23" s="276">
        <f>+Z23+AB23+AD23+AH23+AJ23+X23+AF23+AL23</f>
        <v>0</v>
      </c>
      <c r="E23" s="276">
        <f>+J23+L23+N23+P23+R23+T23+V23+AN23</f>
        <v>8805456</v>
      </c>
      <c r="F23" s="136">
        <f>+E23+D23</f>
        <v>8805456</v>
      </c>
      <c r="G23" s="276">
        <f>+AA23+AC23+AE23+AI23+AK23+Y23+AG23+AM23</f>
        <v>0</v>
      </c>
      <c r="H23" s="276">
        <f>+K23+M23+O23+Q23+S23+U23+W23+AO23</f>
        <v>8805456</v>
      </c>
      <c r="I23" s="314">
        <f>+H23+G23</f>
        <v>8805456</v>
      </c>
      <c r="J23" s="264"/>
      <c r="K23" s="264"/>
      <c r="L23" s="264"/>
      <c r="M23" s="341"/>
      <c r="N23" s="264"/>
      <c r="O23" s="264"/>
      <c r="P23" s="264"/>
      <c r="Q23" s="264"/>
      <c r="R23" s="264">
        <f>620988*12</f>
        <v>7451856</v>
      </c>
      <c r="S23" s="264">
        <f>620988*12</f>
        <v>7451856</v>
      </c>
      <c r="T23" s="264">
        <f>112800*12</f>
        <v>1353600</v>
      </c>
      <c r="U23" s="264">
        <f>112800*12</f>
        <v>1353600</v>
      </c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</row>
    <row r="24" spans="2:41" hidden="1" x14ac:dyDescent="0.25">
      <c r="B24" s="148" t="s">
        <v>565</v>
      </c>
      <c r="C24" s="134" t="s">
        <v>69</v>
      </c>
      <c r="D24" s="277"/>
      <c r="E24" s="277"/>
      <c r="F24" s="135">
        <f t="shared" si="10"/>
        <v>0</v>
      </c>
      <c r="G24" s="276">
        <f>+AA24+AC24+AE24+AI24+AK24+Y24+AG24</f>
        <v>0</v>
      </c>
      <c r="H24" s="276">
        <f>+K24+M24+O24+Q24+S24+U24+W24</f>
        <v>0</v>
      </c>
      <c r="I24" s="317">
        <f t="shared" si="11"/>
        <v>0</v>
      </c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</row>
    <row r="25" spans="2:41" hidden="1" x14ac:dyDescent="0.25">
      <c r="B25" s="148" t="s">
        <v>566</v>
      </c>
      <c r="C25" s="134" t="s">
        <v>71</v>
      </c>
      <c r="D25" s="277"/>
      <c r="E25" s="277"/>
      <c r="F25" s="135">
        <f t="shared" si="10"/>
        <v>0</v>
      </c>
      <c r="G25" s="276">
        <f>+AA25+AC25+AE25+AI25+AK25+Y25+AG25</f>
        <v>0</v>
      </c>
      <c r="H25" s="276">
        <f>+K25+M25+O25+Q25+S25+U25+W25</f>
        <v>0</v>
      </c>
      <c r="I25" s="317">
        <f t="shared" si="11"/>
        <v>0</v>
      </c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</row>
    <row r="26" spans="2:41" hidden="1" x14ac:dyDescent="0.25">
      <c r="B26" s="148" t="s">
        <v>72</v>
      </c>
      <c r="C26" s="134" t="s">
        <v>73</v>
      </c>
      <c r="D26" s="277"/>
      <c r="E26" s="277"/>
      <c r="F26" s="135">
        <f t="shared" si="10"/>
        <v>0</v>
      </c>
      <c r="G26" s="276">
        <f>+AA26+AC26+AE26+AI26+AK26+Y26+AG26</f>
        <v>0</v>
      </c>
      <c r="H26" s="276">
        <f>+K26+M26+O26+Q26+S26+U26+W26</f>
        <v>0</v>
      </c>
      <c r="I26" s="317">
        <f t="shared" si="11"/>
        <v>0</v>
      </c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</row>
    <row r="27" spans="2:41" hidden="1" x14ac:dyDescent="0.25">
      <c r="B27" s="149" t="s">
        <v>74</v>
      </c>
      <c r="C27" s="134" t="s">
        <v>75</v>
      </c>
      <c r="D27" s="277"/>
      <c r="E27" s="277"/>
      <c r="F27" s="135">
        <f t="shared" si="10"/>
        <v>0</v>
      </c>
      <c r="G27" s="276">
        <f>+AA27+AC27+AE27+AI27+AK27+Y27+AG27</f>
        <v>0</v>
      </c>
      <c r="H27" s="276">
        <f>+K27+M27+O27+Q27+S27+U27+W27</f>
        <v>0</v>
      </c>
      <c r="I27" s="317">
        <f t="shared" si="11"/>
        <v>0</v>
      </c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</row>
    <row r="28" spans="2:41" hidden="1" x14ac:dyDescent="0.25">
      <c r="B28" s="148" t="s">
        <v>76</v>
      </c>
      <c r="C28" s="134" t="s">
        <v>77</v>
      </c>
      <c r="D28" s="277"/>
      <c r="E28" s="277"/>
      <c r="F28" s="135">
        <f t="shared" si="10"/>
        <v>0</v>
      </c>
      <c r="G28" s="276">
        <f>+AA28+AC28+AE28+AI28+AK28+Y28+AG28</f>
        <v>0</v>
      </c>
      <c r="H28" s="276">
        <f>+K28+M28+O28+Q28+S28+U28+W28</f>
        <v>0</v>
      </c>
      <c r="I28" s="317">
        <f t="shared" si="11"/>
        <v>0</v>
      </c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</row>
    <row r="29" spans="2:41" x14ac:dyDescent="0.25">
      <c r="B29" s="148" t="s">
        <v>78</v>
      </c>
      <c r="C29" s="134" t="s">
        <v>79</v>
      </c>
      <c r="D29" s="276">
        <f>+Z29+AB29+AD29+AH29+AJ29+X29+AF29+AL29</f>
        <v>0</v>
      </c>
      <c r="E29" s="276">
        <f>+J29+L29+N29+P29+R29+T29+V29+AN29</f>
        <v>0</v>
      </c>
      <c r="F29" s="136">
        <f>+E29+D29</f>
        <v>0</v>
      </c>
      <c r="G29" s="276">
        <f>+AA29+AC29+AE29+AI29+AK29+Y29+AG29+AM29</f>
        <v>0</v>
      </c>
      <c r="H29" s="276">
        <f>+K29+M29+O29+Q29+S29+U29+W29+AO29</f>
        <v>0</v>
      </c>
      <c r="I29" s="314">
        <f>+H29+G29</f>
        <v>0</v>
      </c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</row>
    <row r="30" spans="2:41" hidden="1" x14ac:dyDescent="0.25">
      <c r="B30" s="149" t="s">
        <v>80</v>
      </c>
      <c r="C30" s="134" t="s">
        <v>81</v>
      </c>
      <c r="D30" s="277"/>
      <c r="E30" s="277"/>
      <c r="F30" s="135"/>
      <c r="G30" s="135"/>
      <c r="H30" s="135"/>
      <c r="I30" s="317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</row>
    <row r="31" spans="2:41" hidden="1" x14ac:dyDescent="0.25">
      <c r="B31" s="149" t="s">
        <v>82</v>
      </c>
      <c r="C31" s="134" t="s">
        <v>81</v>
      </c>
      <c r="D31" s="277"/>
      <c r="E31" s="277"/>
      <c r="F31" s="135"/>
      <c r="G31" s="135"/>
      <c r="H31" s="135"/>
      <c r="I31" s="317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</row>
    <row r="32" spans="2:41" s="140" customFormat="1" ht="15" customHeight="1" x14ac:dyDescent="0.2">
      <c r="B32" s="147" t="s">
        <v>83</v>
      </c>
      <c r="C32" s="142" t="s">
        <v>84</v>
      </c>
      <c r="D32" s="143">
        <f t="shared" ref="D32:I32" si="12">+D19+D23+D29</f>
        <v>0</v>
      </c>
      <c r="E32" s="143">
        <f t="shared" si="12"/>
        <v>8805456</v>
      </c>
      <c r="F32" s="143">
        <f t="shared" si="12"/>
        <v>8805456</v>
      </c>
      <c r="G32" s="143">
        <f t="shared" si="12"/>
        <v>0</v>
      </c>
      <c r="H32" s="143">
        <f t="shared" si="12"/>
        <v>8805456</v>
      </c>
      <c r="I32" s="315">
        <f t="shared" si="12"/>
        <v>8805456</v>
      </c>
      <c r="J32" s="318">
        <f>SUM(J18:J31)</f>
        <v>0</v>
      </c>
      <c r="K32" s="318">
        <f>SUM(K18:K31)</f>
        <v>0</v>
      </c>
      <c r="L32" s="318">
        <f t="shared" ref="L32:AO32" si="13">SUM(L18:L31)</f>
        <v>0</v>
      </c>
      <c r="M32" s="318">
        <f t="shared" si="13"/>
        <v>0</v>
      </c>
      <c r="N32" s="318">
        <f t="shared" si="13"/>
        <v>0</v>
      </c>
      <c r="O32" s="318">
        <f t="shared" si="13"/>
        <v>0</v>
      </c>
      <c r="P32" s="318">
        <f t="shared" si="13"/>
        <v>0</v>
      </c>
      <c r="Q32" s="318">
        <f t="shared" si="13"/>
        <v>0</v>
      </c>
      <c r="R32" s="318">
        <f t="shared" si="13"/>
        <v>7451856</v>
      </c>
      <c r="S32" s="318">
        <f t="shared" si="13"/>
        <v>7451856</v>
      </c>
      <c r="T32" s="318">
        <f t="shared" si="13"/>
        <v>1353600</v>
      </c>
      <c r="U32" s="318">
        <f t="shared" si="13"/>
        <v>1353600</v>
      </c>
      <c r="V32" s="318">
        <f t="shared" si="13"/>
        <v>0</v>
      </c>
      <c r="W32" s="318">
        <f t="shared" si="13"/>
        <v>0</v>
      </c>
      <c r="X32" s="318">
        <f t="shared" si="13"/>
        <v>0</v>
      </c>
      <c r="Y32" s="318">
        <f t="shared" si="13"/>
        <v>0</v>
      </c>
      <c r="Z32" s="318">
        <f t="shared" si="13"/>
        <v>0</v>
      </c>
      <c r="AA32" s="318">
        <f t="shared" si="13"/>
        <v>0</v>
      </c>
      <c r="AB32" s="318">
        <f t="shared" si="13"/>
        <v>0</v>
      </c>
      <c r="AC32" s="318">
        <f t="shared" si="13"/>
        <v>0</v>
      </c>
      <c r="AD32" s="318">
        <f t="shared" si="13"/>
        <v>0</v>
      </c>
      <c r="AE32" s="318">
        <f t="shared" si="13"/>
        <v>0</v>
      </c>
      <c r="AF32" s="318">
        <f t="shared" si="13"/>
        <v>0</v>
      </c>
      <c r="AG32" s="318">
        <f t="shared" si="13"/>
        <v>0</v>
      </c>
      <c r="AH32" s="318">
        <f t="shared" si="13"/>
        <v>0</v>
      </c>
      <c r="AI32" s="318">
        <f t="shared" si="13"/>
        <v>0</v>
      </c>
      <c r="AJ32" s="318">
        <f t="shared" si="13"/>
        <v>0</v>
      </c>
      <c r="AK32" s="318">
        <f t="shared" si="13"/>
        <v>0</v>
      </c>
      <c r="AL32" s="318">
        <f t="shared" si="13"/>
        <v>0</v>
      </c>
      <c r="AM32" s="318">
        <f t="shared" si="13"/>
        <v>0</v>
      </c>
      <c r="AN32" s="318">
        <f t="shared" si="13"/>
        <v>0</v>
      </c>
      <c r="AO32" s="318">
        <f t="shared" si="13"/>
        <v>0</v>
      </c>
    </row>
    <row r="33" spans="2:41" x14ac:dyDescent="0.25">
      <c r="B33" s="150" t="s">
        <v>85</v>
      </c>
      <c r="C33" s="151" t="s">
        <v>86</v>
      </c>
      <c r="D33" s="152">
        <f t="shared" ref="D33:I33" si="14">+D32+D17+D16+D10+D9</f>
        <v>72839600</v>
      </c>
      <c r="E33" s="152">
        <f t="shared" si="14"/>
        <v>501171814</v>
      </c>
      <c r="F33" s="152">
        <f t="shared" si="14"/>
        <v>574011414</v>
      </c>
      <c r="G33" s="152">
        <f t="shared" si="14"/>
        <v>72839600</v>
      </c>
      <c r="H33" s="152">
        <f t="shared" si="14"/>
        <v>497343847</v>
      </c>
      <c r="I33" s="335">
        <f t="shared" si="14"/>
        <v>570183447</v>
      </c>
      <c r="J33" s="320">
        <f>+J32+J17+J16+J10+J9</f>
        <v>205135</v>
      </c>
      <c r="K33" s="320">
        <f>+K32+K17+K16+K10+K9</f>
        <v>205135</v>
      </c>
      <c r="L33" s="320">
        <f t="shared" ref="L33:AO33" si="15">+L32+L17+L16+L10+L9</f>
        <v>23006351</v>
      </c>
      <c r="M33" s="320">
        <f t="shared" si="15"/>
        <v>23006351</v>
      </c>
      <c r="N33" s="320">
        <f t="shared" si="15"/>
        <v>31775000</v>
      </c>
      <c r="O33" s="320">
        <f t="shared" si="15"/>
        <v>31775000</v>
      </c>
      <c r="P33" s="320">
        <f t="shared" si="15"/>
        <v>49764948</v>
      </c>
      <c r="Q33" s="320">
        <f t="shared" si="15"/>
        <v>49764948</v>
      </c>
      <c r="R33" s="320">
        <f t="shared" si="15"/>
        <v>299546427</v>
      </c>
      <c r="S33" s="320">
        <f t="shared" si="15"/>
        <v>295539017</v>
      </c>
      <c r="T33" s="320">
        <f t="shared" si="15"/>
        <v>27096899</v>
      </c>
      <c r="U33" s="320">
        <f t="shared" si="15"/>
        <v>27096899</v>
      </c>
      <c r="V33" s="320">
        <f t="shared" si="15"/>
        <v>295125</v>
      </c>
      <c r="W33" s="320">
        <f t="shared" si="15"/>
        <v>474568</v>
      </c>
      <c r="X33" s="320">
        <f t="shared" si="15"/>
        <v>11001249</v>
      </c>
      <c r="Y33" s="320">
        <f t="shared" si="15"/>
        <v>11001249</v>
      </c>
      <c r="Z33" s="320">
        <f t="shared" si="15"/>
        <v>0</v>
      </c>
      <c r="AA33" s="320">
        <f t="shared" si="15"/>
        <v>0</v>
      </c>
      <c r="AB33" s="320">
        <f t="shared" si="15"/>
        <v>5464295</v>
      </c>
      <c r="AC33" s="320">
        <f t="shared" si="15"/>
        <v>5464295</v>
      </c>
      <c r="AD33" s="320">
        <f t="shared" si="15"/>
        <v>40246300</v>
      </c>
      <c r="AE33" s="320">
        <f t="shared" si="15"/>
        <v>40246300</v>
      </c>
      <c r="AF33" s="320">
        <f t="shared" si="15"/>
        <v>7274910</v>
      </c>
      <c r="AG33" s="320">
        <f t="shared" si="15"/>
        <v>7274910</v>
      </c>
      <c r="AH33" s="320">
        <f t="shared" si="15"/>
        <v>3042500</v>
      </c>
      <c r="AI33" s="320">
        <f t="shared" si="15"/>
        <v>3042500</v>
      </c>
      <c r="AJ33" s="320">
        <f t="shared" si="15"/>
        <v>5810346</v>
      </c>
      <c r="AK33" s="320">
        <f t="shared" si="15"/>
        <v>5810346</v>
      </c>
      <c r="AL33" s="320">
        <f t="shared" si="15"/>
        <v>0</v>
      </c>
      <c r="AM33" s="320">
        <f t="shared" si="15"/>
        <v>0</v>
      </c>
      <c r="AN33" s="320">
        <f t="shared" si="15"/>
        <v>69481929</v>
      </c>
      <c r="AO33" s="320">
        <f t="shared" si="15"/>
        <v>69481929</v>
      </c>
    </row>
    <row r="34" spans="2:41" x14ac:dyDescent="0.25">
      <c r="B34" s="153" t="s">
        <v>87</v>
      </c>
      <c r="C34" s="134" t="s">
        <v>88</v>
      </c>
      <c r="D34" s="276">
        <f t="shared" ref="D34:D40" si="16">+Z34+AB34+AD34+AH34+AJ34+X34+AF34+AL34</f>
        <v>0</v>
      </c>
      <c r="E34" s="276">
        <f>+J34+L34+N34+P34+R34+T34+V34+AN34</f>
        <v>0</v>
      </c>
      <c r="F34" s="136">
        <f t="shared" ref="F34:F40" si="17">+E34+D34</f>
        <v>0</v>
      </c>
      <c r="G34" s="276">
        <f>+AA34+AC34+AE34+AI34+AK34+Y34+AG34+AM34</f>
        <v>0</v>
      </c>
      <c r="H34" s="276">
        <f>+K34+M34+O34+Q34+S34+U34+W34+AO34</f>
        <v>0</v>
      </c>
      <c r="I34" s="314">
        <f t="shared" ref="I34:I40" si="18">+H34+G34</f>
        <v>0</v>
      </c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</row>
    <row r="35" spans="2:41" x14ac:dyDescent="0.25">
      <c r="B35" s="153" t="s">
        <v>89</v>
      </c>
      <c r="C35" s="134" t="s">
        <v>90</v>
      </c>
      <c r="D35" s="276">
        <f t="shared" si="16"/>
        <v>189795859</v>
      </c>
      <c r="E35" s="276">
        <f>+J35+L35+N35+P35+R35+T35+V35+AN35</f>
        <v>40705284</v>
      </c>
      <c r="F35" s="136">
        <f t="shared" si="17"/>
        <v>230501143</v>
      </c>
      <c r="G35" s="276">
        <f>+AA35+AC35+AE35+AI35+AK35+Y35+AG35+AM35</f>
        <v>189795859</v>
      </c>
      <c r="H35" s="276">
        <f>+K35+M35+O35+Q35+S35+U35+W35+AO35</f>
        <v>40705284</v>
      </c>
      <c r="I35" s="314">
        <f t="shared" si="18"/>
        <v>230501143</v>
      </c>
      <c r="J35" s="264"/>
      <c r="K35" s="264"/>
      <c r="L35" s="264">
        <f>+'5 Beruh kiad'!E19</f>
        <v>40705284</v>
      </c>
      <c r="M35" s="264">
        <f>+'5 Beruh kiad'!G19</f>
        <v>40705284</v>
      </c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>
        <f>+'5 Beruh kiad'!D16</f>
        <v>9970030</v>
      </c>
      <c r="Y35" s="264">
        <f>+'5 Beruh kiad'!F16</f>
        <v>9970030</v>
      </c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>
        <f>+'5 Beruh kiad'!D18</f>
        <v>179825829</v>
      </c>
      <c r="AM35" s="264">
        <f>+'5 Beruh kiad'!F18</f>
        <v>179825829</v>
      </c>
      <c r="AN35" s="264"/>
      <c r="AO35" s="264"/>
    </row>
    <row r="36" spans="2:41" x14ac:dyDescent="0.25">
      <c r="B36" s="153" t="s">
        <v>91</v>
      </c>
      <c r="C36" s="134" t="s">
        <v>92</v>
      </c>
      <c r="D36" s="276">
        <f t="shared" si="16"/>
        <v>0</v>
      </c>
      <c r="E36" s="276">
        <f>+J36+L36+N36+P36+R36+T36+V36+AN36</f>
        <v>0</v>
      </c>
      <c r="F36" s="136">
        <f t="shared" si="17"/>
        <v>0</v>
      </c>
      <c r="G36" s="276">
        <f>+AA36+AC36+AE36+AI36+AK36+Y36+AG36+AM36</f>
        <v>0</v>
      </c>
      <c r="H36" s="276">
        <f>+K36+M36+O36+Q36+S36+U36+W36+AO36</f>
        <v>0</v>
      </c>
      <c r="I36" s="314">
        <f t="shared" si="18"/>
        <v>0</v>
      </c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</row>
    <row r="37" spans="2:41" x14ac:dyDescent="0.25">
      <c r="B37" s="153" t="s">
        <v>93</v>
      </c>
      <c r="C37" s="134" t="s">
        <v>94</v>
      </c>
      <c r="D37" s="276">
        <f t="shared" si="16"/>
        <v>457931266</v>
      </c>
      <c r="E37" s="276">
        <f>+J37+L37+N37+P37+R37+T37+V37+AN37</f>
        <v>15042086</v>
      </c>
      <c r="F37" s="136">
        <f t="shared" si="17"/>
        <v>472973352</v>
      </c>
      <c r="G37" s="276">
        <f>+AA37+AC37+AE37+AI37+AK37+Y37+AG37+AM37</f>
        <v>457931266</v>
      </c>
      <c r="H37" s="276">
        <f>+K37+M37+O37+Q37+S37+U37+W37+AO37</f>
        <v>15042086</v>
      </c>
      <c r="I37" s="314">
        <f t="shared" si="18"/>
        <v>472973352</v>
      </c>
      <c r="J37" s="264">
        <f>+'5 Beruh kiad'!E31</f>
        <v>1431590</v>
      </c>
      <c r="K37" s="264">
        <f>+'5 Beruh kiad'!G31</f>
        <v>1431590</v>
      </c>
      <c r="L37" s="264"/>
      <c r="M37" s="264"/>
      <c r="N37" s="264"/>
      <c r="O37" s="264"/>
      <c r="P37" s="264">
        <f>+'5 Beruh kiad'!E33</f>
        <v>2272606</v>
      </c>
      <c r="Q37" s="264">
        <f>+'5 Beruh kiad'!G33</f>
        <v>2272606</v>
      </c>
      <c r="R37" s="264">
        <f>+'5 Beruh kiad'!E35</f>
        <v>1337890</v>
      </c>
      <c r="S37" s="264">
        <f>+'5 Beruh kiad'!G35</f>
        <v>1337890</v>
      </c>
      <c r="T37" s="264"/>
      <c r="U37" s="264"/>
      <c r="V37" s="264"/>
      <c r="W37" s="264"/>
      <c r="X37" s="264">
        <f>+'5 Beruh kiad'!D34</f>
        <v>416275567</v>
      </c>
      <c r="Y37" s="264">
        <f>+'5 Beruh kiad'!F34</f>
        <v>416275567</v>
      </c>
      <c r="Z37" s="264"/>
      <c r="AA37" s="264"/>
      <c r="AB37" s="264"/>
      <c r="AC37" s="264"/>
      <c r="AD37" s="264"/>
      <c r="AE37" s="264"/>
      <c r="AF37" s="264">
        <f>+'5 Beruh kiad'!D30</f>
        <v>28034893</v>
      </c>
      <c r="AG37" s="264">
        <f>+'5 Beruh kiad'!F30</f>
        <v>28034893</v>
      </c>
      <c r="AH37" s="264"/>
      <c r="AI37" s="264"/>
      <c r="AJ37" s="264">
        <f>+'5 Beruh kiad'!D36</f>
        <v>13620806</v>
      </c>
      <c r="AK37" s="264">
        <f>+'5 Beruh kiad'!F36</f>
        <v>13620806</v>
      </c>
      <c r="AL37" s="264"/>
      <c r="AM37" s="264"/>
      <c r="AN37" s="264">
        <f>+'5 Beruh kiad'!E29</f>
        <v>10000000</v>
      </c>
      <c r="AO37" s="264">
        <f>+'5 Beruh kiad'!G29</f>
        <v>10000000</v>
      </c>
    </row>
    <row r="38" spans="2:41" hidden="1" x14ac:dyDescent="0.25">
      <c r="B38" s="154" t="s">
        <v>95</v>
      </c>
      <c r="C38" s="134" t="s">
        <v>96</v>
      </c>
      <c r="D38" s="276">
        <f t="shared" si="16"/>
        <v>0</v>
      </c>
      <c r="E38" s="277"/>
      <c r="F38" s="135">
        <f t="shared" si="17"/>
        <v>0</v>
      </c>
      <c r="G38" s="276">
        <f>+AA38+AC38+AE38+AI38+AK38+Y38+AG38</f>
        <v>0</v>
      </c>
      <c r="H38" s="276">
        <f>+K38+M38+O38+Q38+S38+U38+W38</f>
        <v>0</v>
      </c>
      <c r="I38" s="317">
        <f t="shared" si="18"/>
        <v>0</v>
      </c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</row>
    <row r="39" spans="2:41" hidden="1" x14ac:dyDescent="0.25">
      <c r="B39" s="154" t="s">
        <v>97</v>
      </c>
      <c r="C39" s="134" t="s">
        <v>98</v>
      </c>
      <c r="D39" s="276">
        <f t="shared" si="16"/>
        <v>0</v>
      </c>
      <c r="E39" s="277"/>
      <c r="F39" s="135">
        <f t="shared" si="17"/>
        <v>0</v>
      </c>
      <c r="G39" s="276">
        <f>+AA39+AC39+AE39+AI39+AK39+Y39+AG39</f>
        <v>0</v>
      </c>
      <c r="H39" s="276">
        <f>+K39+M39+O39+Q39+S39+U39+W39</f>
        <v>0</v>
      </c>
      <c r="I39" s="317">
        <f t="shared" si="18"/>
        <v>0</v>
      </c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</row>
    <row r="40" spans="2:41" x14ac:dyDescent="0.25">
      <c r="B40" s="154" t="s">
        <v>99</v>
      </c>
      <c r="C40" s="134" t="s">
        <v>100</v>
      </c>
      <c r="D40" s="276">
        <f t="shared" si="16"/>
        <v>171346344</v>
      </c>
      <c r="E40" s="276">
        <f>+J40+L40+N40+P40+R40+T40+V40+AN40</f>
        <v>4061184</v>
      </c>
      <c r="F40" s="136">
        <f t="shared" si="17"/>
        <v>175407528</v>
      </c>
      <c r="G40" s="276">
        <f>+AA40+AC40+AE40+AI40+AK40+Y40+AG40+AM40</f>
        <v>171346344</v>
      </c>
      <c r="H40" s="276">
        <f>+K40+M40+O40+Q40+S40+U40+W40+AO40</f>
        <v>4061184</v>
      </c>
      <c r="I40" s="314">
        <f t="shared" si="18"/>
        <v>175407528</v>
      </c>
      <c r="J40" s="264">
        <f>+'5 Beruh kiad'!E52</f>
        <v>386530</v>
      </c>
      <c r="K40" s="264">
        <f>+'5 Beruh kiad'!G52</f>
        <v>386530</v>
      </c>
      <c r="L40" s="264">
        <f>+'5 Beruh kiad'!E51</f>
        <v>0</v>
      </c>
      <c r="M40" s="264">
        <f>+'5 Beruh kiad'!G51</f>
        <v>0</v>
      </c>
      <c r="N40" s="264"/>
      <c r="O40" s="264"/>
      <c r="P40" s="264">
        <f>+'5 Beruh kiad'!E54</f>
        <v>613424</v>
      </c>
      <c r="Q40" s="264">
        <f>+'5 Beruh kiad'!G54</f>
        <v>613424</v>
      </c>
      <c r="R40" s="264">
        <f>+'5 Beruh kiad'!E56</f>
        <v>361230</v>
      </c>
      <c r="S40" s="264">
        <f>+'5 Beruh kiad'!G56</f>
        <v>361230</v>
      </c>
      <c r="T40" s="264"/>
      <c r="U40" s="264"/>
      <c r="V40" s="264"/>
      <c r="W40" s="264"/>
      <c r="X40" s="264">
        <f>+'5 Beruh kiad'!D55</f>
        <v>112394403</v>
      </c>
      <c r="Y40" s="264">
        <f>+'5 Beruh kiad'!F55</f>
        <v>112394403</v>
      </c>
      <c r="Z40" s="264"/>
      <c r="AA40" s="264"/>
      <c r="AB40" s="264"/>
      <c r="AC40" s="264"/>
      <c r="AD40" s="264"/>
      <c r="AE40" s="264"/>
      <c r="AF40" s="264">
        <f>+'5 Beruh kiad'!D50</f>
        <v>6721350</v>
      </c>
      <c r="AG40" s="264">
        <f>+'5 Beruh kiad'!F50</f>
        <v>6721350</v>
      </c>
      <c r="AH40" s="264"/>
      <c r="AI40" s="264"/>
      <c r="AJ40" s="264">
        <f>+'5 Beruh kiad'!D57</f>
        <v>3677618</v>
      </c>
      <c r="AK40" s="264">
        <f>+'5 Beruh kiad'!F57</f>
        <v>3677618</v>
      </c>
      <c r="AL40" s="264">
        <f>+'5 Beruh kiad'!D48</f>
        <v>48552973</v>
      </c>
      <c r="AM40" s="264">
        <f>+'5 Beruh kiad'!F48</f>
        <v>48552973</v>
      </c>
      <c r="AN40" s="264">
        <f>+'5 Beruh kiad'!E49</f>
        <v>2700000</v>
      </c>
      <c r="AO40" s="264">
        <f>+'5 Beruh kiad'!G49</f>
        <v>2700000</v>
      </c>
    </row>
    <row r="41" spans="2:41" s="140" customFormat="1" ht="12.75" x14ac:dyDescent="0.2">
      <c r="B41" s="155" t="s">
        <v>101</v>
      </c>
      <c r="C41" s="142" t="s">
        <v>102</v>
      </c>
      <c r="D41" s="143">
        <f t="shared" ref="D41:J41" si="19">SUM(D34:D40)</f>
        <v>819073469</v>
      </c>
      <c r="E41" s="143">
        <f t="shared" si="19"/>
        <v>59808554</v>
      </c>
      <c r="F41" s="143">
        <f t="shared" si="19"/>
        <v>878882023</v>
      </c>
      <c r="G41" s="143">
        <f t="shared" si="19"/>
        <v>819073469</v>
      </c>
      <c r="H41" s="143">
        <f t="shared" si="19"/>
        <v>59808554</v>
      </c>
      <c r="I41" s="315">
        <f>SUM(I34:I40)</f>
        <v>878882023</v>
      </c>
      <c r="J41" s="318">
        <f t="shared" si="19"/>
        <v>1818120</v>
      </c>
      <c r="K41" s="318">
        <f>SUM(K34:K40)</f>
        <v>1818120</v>
      </c>
      <c r="L41" s="318">
        <f t="shared" ref="L41:AO41" si="20">SUM(L34:L40)</f>
        <v>40705284</v>
      </c>
      <c r="M41" s="318">
        <f t="shared" si="20"/>
        <v>40705284</v>
      </c>
      <c r="N41" s="318">
        <f t="shared" si="20"/>
        <v>0</v>
      </c>
      <c r="O41" s="318">
        <f t="shared" si="20"/>
        <v>0</v>
      </c>
      <c r="P41" s="318">
        <f t="shared" si="20"/>
        <v>2886030</v>
      </c>
      <c r="Q41" s="318">
        <f t="shared" si="20"/>
        <v>2886030</v>
      </c>
      <c r="R41" s="318">
        <f t="shared" si="20"/>
        <v>1699120</v>
      </c>
      <c r="S41" s="318">
        <f t="shared" si="20"/>
        <v>1699120</v>
      </c>
      <c r="T41" s="318">
        <f t="shared" si="20"/>
        <v>0</v>
      </c>
      <c r="U41" s="318">
        <f t="shared" si="20"/>
        <v>0</v>
      </c>
      <c r="V41" s="318">
        <f t="shared" si="20"/>
        <v>0</v>
      </c>
      <c r="W41" s="318">
        <f t="shared" si="20"/>
        <v>0</v>
      </c>
      <c r="X41" s="318">
        <f t="shared" si="20"/>
        <v>538640000</v>
      </c>
      <c r="Y41" s="318">
        <f t="shared" si="20"/>
        <v>538640000</v>
      </c>
      <c r="Z41" s="318">
        <f t="shared" si="20"/>
        <v>0</v>
      </c>
      <c r="AA41" s="318">
        <f t="shared" si="20"/>
        <v>0</v>
      </c>
      <c r="AB41" s="318">
        <f t="shared" si="20"/>
        <v>0</v>
      </c>
      <c r="AC41" s="318">
        <f t="shared" si="20"/>
        <v>0</v>
      </c>
      <c r="AD41" s="318">
        <f t="shared" si="20"/>
        <v>0</v>
      </c>
      <c r="AE41" s="318">
        <f t="shared" si="20"/>
        <v>0</v>
      </c>
      <c r="AF41" s="318">
        <f t="shared" si="20"/>
        <v>34756243</v>
      </c>
      <c r="AG41" s="318">
        <f t="shared" si="20"/>
        <v>34756243</v>
      </c>
      <c r="AH41" s="318">
        <f t="shared" si="20"/>
        <v>0</v>
      </c>
      <c r="AI41" s="318">
        <f t="shared" si="20"/>
        <v>0</v>
      </c>
      <c r="AJ41" s="318">
        <f t="shared" si="20"/>
        <v>17298424</v>
      </c>
      <c r="AK41" s="318">
        <f t="shared" si="20"/>
        <v>17298424</v>
      </c>
      <c r="AL41" s="318">
        <f t="shared" si="20"/>
        <v>228378802</v>
      </c>
      <c r="AM41" s="318">
        <f t="shared" si="20"/>
        <v>228378802</v>
      </c>
      <c r="AN41" s="318">
        <f t="shared" si="20"/>
        <v>12700000</v>
      </c>
      <c r="AO41" s="318">
        <f t="shared" si="20"/>
        <v>12700000</v>
      </c>
    </row>
    <row r="42" spans="2:41" x14ac:dyDescent="0.25">
      <c r="B42" s="156" t="s">
        <v>103</v>
      </c>
      <c r="C42" s="134" t="s">
        <v>104</v>
      </c>
      <c r="D42" s="276">
        <f>+Z42+AB42+AD42+AH42+AJ42+X42+AF42+AL42</f>
        <v>489886869</v>
      </c>
      <c r="E42" s="276">
        <f>+J42+L42+N42+P42+R42+T42+V42+AN42</f>
        <v>327911353</v>
      </c>
      <c r="F42" s="136">
        <f>+E42+D42</f>
        <v>817798222</v>
      </c>
      <c r="G42" s="276">
        <f>+AA42+AC42+AE42+AI42+AK42+Y42+AG42+AM42</f>
        <v>486773562</v>
      </c>
      <c r="H42" s="276">
        <f>+K42+M42+O42+Q42+S42+U42+W42+AO42</f>
        <v>327911353</v>
      </c>
      <c r="I42" s="314">
        <f>+H42+G42</f>
        <v>814684915</v>
      </c>
      <c r="J42" s="264"/>
      <c r="K42" s="264"/>
      <c r="L42" s="264"/>
      <c r="M42" s="264"/>
      <c r="N42" s="264">
        <f>+'5 Beruh kiad'!E71</f>
        <v>120509000</v>
      </c>
      <c r="O42" s="264">
        <f>+'5 Beruh kiad'!G71</f>
        <v>120509000</v>
      </c>
      <c r="P42" s="264"/>
      <c r="Q42" s="264"/>
      <c r="R42" s="264"/>
      <c r="S42" s="264"/>
      <c r="T42" s="264"/>
      <c r="U42" s="264"/>
      <c r="V42" s="264">
        <f>+'5 Beruh kiad'!E75</f>
        <v>12194920</v>
      </c>
      <c r="W42" s="264">
        <f>+'5 Beruh kiad'!G75</f>
        <v>12194920</v>
      </c>
      <c r="Y42" s="264"/>
      <c r="Z42" s="264">
        <f>+'5 Beruh kiad'!D69</f>
        <v>8778197</v>
      </c>
      <c r="AA42" s="264">
        <f>+'5 Beruh kiad'!F69</f>
        <v>7243197</v>
      </c>
      <c r="AB42" s="264">
        <f>+'5 Beruh kiad'!D70</f>
        <v>11930593</v>
      </c>
      <c r="AC42" s="264">
        <f>+'5 Beruh kiad'!F70</f>
        <v>10352286</v>
      </c>
      <c r="AD42" s="264">
        <f>+'5 Beruh kiad'!D68</f>
        <v>353700000</v>
      </c>
      <c r="AE42" s="264">
        <f>+'5 Beruh kiad'!F68</f>
        <v>353700000</v>
      </c>
      <c r="AF42" s="264"/>
      <c r="AG42" s="264">
        <f>+'5 Beruh kiad'!F61</f>
        <v>0</v>
      </c>
      <c r="AH42" s="264">
        <f>+'5 Beruh kiad'!D73</f>
        <v>66059236</v>
      </c>
      <c r="AI42" s="264">
        <f>+'5 Beruh kiad'!F73</f>
        <v>66059236</v>
      </c>
      <c r="AJ42" s="264">
        <f>+'5 Beruh kiad'!D74</f>
        <v>49418843</v>
      </c>
      <c r="AK42" s="264">
        <f>+'5 Beruh kiad'!F74</f>
        <v>49418843</v>
      </c>
      <c r="AL42" s="264"/>
      <c r="AM42" s="264"/>
      <c r="AN42" s="264">
        <f>+'5 Beruh kiad'!E77</f>
        <v>195207433</v>
      </c>
      <c r="AO42" s="264">
        <f>+'5 Beruh kiad'!G77</f>
        <v>195207433</v>
      </c>
    </row>
    <row r="43" spans="2:41" x14ac:dyDescent="0.25">
      <c r="B43" s="156" t="s">
        <v>105</v>
      </c>
      <c r="C43" s="134" t="s">
        <v>106</v>
      </c>
      <c r="D43" s="276">
        <f>+Z43+AB43+AD43+AH43+AJ43+X38+AF43+AL43</f>
        <v>0</v>
      </c>
      <c r="E43" s="276">
        <f>+J43+L43+N43+P43+R43+T43+V43+AN43</f>
        <v>0</v>
      </c>
      <c r="F43" s="136">
        <f>+E43+D43</f>
        <v>0</v>
      </c>
      <c r="G43" s="276">
        <f>+AA43+AC43+AE43+AI43+AK43+Y43+AG43+AM43</f>
        <v>0</v>
      </c>
      <c r="H43" s="276">
        <f>+K43+M43+O43+Q43+S43+U43+W43+AO43</f>
        <v>0</v>
      </c>
      <c r="I43" s="314">
        <f>+H43+G43</f>
        <v>0</v>
      </c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</row>
    <row r="44" spans="2:41" x14ac:dyDescent="0.25">
      <c r="B44" s="156" t="s">
        <v>107</v>
      </c>
      <c r="C44" s="134" t="s">
        <v>108</v>
      </c>
      <c r="D44" s="276">
        <f>+Z44+AB44+AD44+AH44+AJ44+X39+AF44+AL44</f>
        <v>0</v>
      </c>
      <c r="E44" s="276">
        <f>+J44+L44+N44+P44+R44+T44+V44+AN44</f>
        <v>0</v>
      </c>
      <c r="F44" s="136">
        <f>+E44+D44</f>
        <v>0</v>
      </c>
      <c r="G44" s="276">
        <f>+AA44+AC44+AE44+AI44+AK44+Y44+AG44+AM44</f>
        <v>0</v>
      </c>
      <c r="H44" s="276">
        <f>+K44+M44+O44+Q44+S44+U44+W44+AO44</f>
        <v>0</v>
      </c>
      <c r="I44" s="314">
        <f>+H44+G44</f>
        <v>0</v>
      </c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</row>
    <row r="45" spans="2:41" x14ac:dyDescent="0.25">
      <c r="B45" s="156" t="s">
        <v>109</v>
      </c>
      <c r="C45" s="134" t="s">
        <v>110</v>
      </c>
      <c r="D45" s="276">
        <f>+Z45+AB45+AD45+AH45+AJ45+X45+AF45+AL45</f>
        <v>135662871</v>
      </c>
      <c r="E45" s="276">
        <f>+J45+L45+N45+P45+R45+T45+V45+AN45</f>
        <v>88536638</v>
      </c>
      <c r="F45" s="136">
        <f>+E45+D45</f>
        <v>224199509</v>
      </c>
      <c r="G45" s="276">
        <f>+AA45+AC45+AE45+AI45+AK45+Y45+AG45+AM45</f>
        <v>135248421</v>
      </c>
      <c r="H45" s="276">
        <f>+K45+M45+O45+Q45+S45+U45+W45+AO45</f>
        <v>88536638</v>
      </c>
      <c r="I45" s="314">
        <f>+H45+G45</f>
        <v>223785059</v>
      </c>
      <c r="J45" s="264"/>
      <c r="K45" s="264"/>
      <c r="L45" s="264"/>
      <c r="M45" s="264"/>
      <c r="N45" s="264">
        <f>+'5 Beruh kiad'!E94</f>
        <v>32538000</v>
      </c>
      <c r="O45" s="264">
        <f>+'5 Beruh kiad'!G94</f>
        <v>32538000</v>
      </c>
      <c r="P45" s="264"/>
      <c r="Q45" s="264"/>
      <c r="R45" s="264"/>
      <c r="S45" s="264"/>
      <c r="T45" s="264"/>
      <c r="U45" s="264"/>
      <c r="V45" s="264">
        <f>+'5 Beruh kiad'!E96</f>
        <v>3292630</v>
      </c>
      <c r="W45" s="264">
        <f>+'5 Beruh kiad'!G96</f>
        <v>3292630</v>
      </c>
      <c r="Y45" s="264"/>
      <c r="Z45" s="264">
        <f>+'5 Beruh kiad'!D92</f>
        <v>5763531</v>
      </c>
      <c r="AA45" s="264">
        <f>+'5 Beruh kiad'!F92</f>
        <v>5349081</v>
      </c>
      <c r="AB45" s="264">
        <f>+'5 Beruh kiad'!D93</f>
        <v>3221260</v>
      </c>
      <c r="AC45" s="264">
        <f>+'5 Beruh kiad'!F93</f>
        <v>3221260</v>
      </c>
      <c r="AD45" s="264">
        <f>+'5 Beruh kiad'!D91</f>
        <v>95499000</v>
      </c>
      <c r="AE45" s="264">
        <f>+'5 Beruh kiad'!F91</f>
        <v>95499000</v>
      </c>
      <c r="AF45" s="264"/>
      <c r="AG45" s="264"/>
      <c r="AH45" s="264">
        <f>+'5 Beruh kiad'!D95</f>
        <v>17835993</v>
      </c>
      <c r="AI45" s="264">
        <f>+'5 Beruh kiad'!F95</f>
        <v>17835993</v>
      </c>
      <c r="AJ45" s="264">
        <f>+'5 Beruh kiad'!D97</f>
        <v>13343087</v>
      </c>
      <c r="AK45" s="264">
        <f>+'5 Beruh kiad'!F97</f>
        <v>13343087</v>
      </c>
      <c r="AL45" s="264"/>
      <c r="AM45" s="264"/>
      <c r="AN45" s="264">
        <f>+'5 Beruh kiad'!E99</f>
        <v>52706008</v>
      </c>
      <c r="AO45" s="264">
        <f>+'5 Beruh kiad'!G99</f>
        <v>52706008</v>
      </c>
    </row>
    <row r="46" spans="2:41" s="140" customFormat="1" ht="12.75" x14ac:dyDescent="0.2">
      <c r="B46" s="144" t="s">
        <v>111</v>
      </c>
      <c r="C46" s="142" t="s">
        <v>112</v>
      </c>
      <c r="D46" s="143">
        <f t="shared" ref="D46:I46" si="21">SUM(D42:D45)</f>
        <v>625549740</v>
      </c>
      <c r="E46" s="143">
        <f t="shared" si="21"/>
        <v>416447991</v>
      </c>
      <c r="F46" s="143">
        <f t="shared" si="21"/>
        <v>1041997731</v>
      </c>
      <c r="G46" s="143">
        <f t="shared" si="21"/>
        <v>622021983</v>
      </c>
      <c r="H46" s="143">
        <f t="shared" si="21"/>
        <v>416447991</v>
      </c>
      <c r="I46" s="315">
        <f t="shared" si="21"/>
        <v>1038469974</v>
      </c>
      <c r="J46" s="318">
        <f>SUM(J42:J45)</f>
        <v>0</v>
      </c>
      <c r="K46" s="318">
        <f t="shared" ref="K46:AO46" si="22">SUM(K42:K45)</f>
        <v>0</v>
      </c>
      <c r="L46" s="318">
        <f t="shared" si="22"/>
        <v>0</v>
      </c>
      <c r="M46" s="318">
        <f t="shared" si="22"/>
        <v>0</v>
      </c>
      <c r="N46" s="318">
        <f t="shared" si="22"/>
        <v>153047000</v>
      </c>
      <c r="O46" s="318">
        <f t="shared" si="22"/>
        <v>153047000</v>
      </c>
      <c r="P46" s="318">
        <f t="shared" si="22"/>
        <v>0</v>
      </c>
      <c r="Q46" s="318">
        <f t="shared" si="22"/>
        <v>0</v>
      </c>
      <c r="R46" s="318">
        <f t="shared" si="22"/>
        <v>0</v>
      </c>
      <c r="S46" s="318">
        <f t="shared" si="22"/>
        <v>0</v>
      </c>
      <c r="T46" s="318">
        <f t="shared" si="22"/>
        <v>0</v>
      </c>
      <c r="U46" s="318">
        <f t="shared" si="22"/>
        <v>0</v>
      </c>
      <c r="V46" s="318">
        <f t="shared" si="22"/>
        <v>15487550</v>
      </c>
      <c r="W46" s="318">
        <f t="shared" si="22"/>
        <v>15487550</v>
      </c>
      <c r="X46" s="318">
        <f t="shared" si="22"/>
        <v>0</v>
      </c>
      <c r="Y46" s="318">
        <f t="shared" si="22"/>
        <v>0</v>
      </c>
      <c r="Z46" s="318">
        <f t="shared" si="22"/>
        <v>14541728</v>
      </c>
      <c r="AA46" s="318">
        <f t="shared" si="22"/>
        <v>12592278</v>
      </c>
      <c r="AB46" s="318">
        <f t="shared" si="22"/>
        <v>15151853</v>
      </c>
      <c r="AC46" s="318">
        <f t="shared" si="22"/>
        <v>13573546</v>
      </c>
      <c r="AD46" s="318">
        <f t="shared" si="22"/>
        <v>449199000</v>
      </c>
      <c r="AE46" s="318">
        <f t="shared" si="22"/>
        <v>449199000</v>
      </c>
      <c r="AF46" s="318">
        <f t="shared" si="22"/>
        <v>0</v>
      </c>
      <c r="AG46" s="318">
        <f t="shared" si="22"/>
        <v>0</v>
      </c>
      <c r="AH46" s="318">
        <f t="shared" si="22"/>
        <v>83895229</v>
      </c>
      <c r="AI46" s="318">
        <f t="shared" si="22"/>
        <v>83895229</v>
      </c>
      <c r="AJ46" s="318">
        <f t="shared" si="22"/>
        <v>62761930</v>
      </c>
      <c r="AK46" s="318">
        <f t="shared" si="22"/>
        <v>62761930</v>
      </c>
      <c r="AL46" s="318">
        <f t="shared" si="22"/>
        <v>0</v>
      </c>
      <c r="AM46" s="318">
        <f t="shared" si="22"/>
        <v>0</v>
      </c>
      <c r="AN46" s="318">
        <f t="shared" si="22"/>
        <v>247913441</v>
      </c>
      <c r="AO46" s="318">
        <f t="shared" si="22"/>
        <v>247913441</v>
      </c>
    </row>
    <row r="47" spans="2:41" hidden="1" x14ac:dyDescent="0.25">
      <c r="B47" s="156" t="s">
        <v>567</v>
      </c>
      <c r="C47" s="134" t="s">
        <v>114</v>
      </c>
      <c r="D47" s="277"/>
      <c r="E47" s="277"/>
      <c r="F47" s="135"/>
      <c r="G47" s="135"/>
      <c r="H47" s="135"/>
      <c r="I47" s="317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</row>
    <row r="48" spans="2:41" hidden="1" x14ac:dyDescent="0.25">
      <c r="B48" s="156" t="s">
        <v>568</v>
      </c>
      <c r="C48" s="134" t="s">
        <v>116</v>
      </c>
      <c r="D48" s="277"/>
      <c r="E48" s="277"/>
      <c r="F48" s="135"/>
      <c r="G48" s="135"/>
      <c r="H48" s="135"/>
      <c r="I48" s="317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</row>
    <row r="49" spans="2:41" ht="15.75" hidden="1" customHeight="1" x14ac:dyDescent="0.25">
      <c r="B49" s="156" t="s">
        <v>569</v>
      </c>
      <c r="C49" s="134" t="s">
        <v>118</v>
      </c>
      <c r="D49" s="277"/>
      <c r="E49" s="277"/>
      <c r="F49" s="135"/>
      <c r="G49" s="135"/>
      <c r="H49" s="135"/>
      <c r="I49" s="317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</row>
    <row r="50" spans="2:41" hidden="1" x14ac:dyDescent="0.25">
      <c r="B50" s="156" t="s">
        <v>119</v>
      </c>
      <c r="C50" s="134" t="s">
        <v>120</v>
      </c>
      <c r="D50" s="277"/>
      <c r="E50" s="277"/>
      <c r="F50" s="135"/>
      <c r="G50" s="135"/>
      <c r="H50" s="135"/>
      <c r="I50" s="317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</row>
    <row r="51" spans="2:41" ht="15" hidden="1" customHeight="1" x14ac:dyDescent="0.25">
      <c r="B51" s="156" t="s">
        <v>570</v>
      </c>
      <c r="C51" s="134" t="s">
        <v>122</v>
      </c>
      <c r="D51" s="277"/>
      <c r="E51" s="277"/>
      <c r="F51" s="135"/>
      <c r="G51" s="135"/>
      <c r="H51" s="135"/>
      <c r="I51" s="317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</row>
    <row r="52" spans="2:41" hidden="1" x14ac:dyDescent="0.25">
      <c r="B52" s="156" t="s">
        <v>571</v>
      </c>
      <c r="C52" s="134" t="s">
        <v>124</v>
      </c>
      <c r="D52" s="277"/>
      <c r="E52" s="277"/>
      <c r="F52" s="135"/>
      <c r="G52" s="135"/>
      <c r="H52" s="135"/>
      <c r="I52" s="317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</row>
    <row r="53" spans="2:41" hidden="1" x14ac:dyDescent="0.25">
      <c r="B53" s="156" t="s">
        <v>125</v>
      </c>
      <c r="C53" s="134" t="s">
        <v>126</v>
      </c>
      <c r="D53" s="277"/>
      <c r="E53" s="277"/>
      <c r="F53" s="135"/>
      <c r="G53" s="135"/>
      <c r="H53" s="135"/>
      <c r="I53" s="317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</row>
    <row r="54" spans="2:41" hidden="1" x14ac:dyDescent="0.25">
      <c r="B54" s="156" t="s">
        <v>127</v>
      </c>
      <c r="C54" s="134" t="s">
        <v>128</v>
      </c>
      <c r="D54" s="277"/>
      <c r="E54" s="277"/>
      <c r="F54" s="135"/>
      <c r="G54" s="135"/>
      <c r="H54" s="135"/>
      <c r="I54" s="317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</row>
    <row r="55" spans="2:41" hidden="1" x14ac:dyDescent="0.25">
      <c r="B55" s="156" t="s">
        <v>129</v>
      </c>
      <c r="C55" s="134" t="s">
        <v>130</v>
      </c>
      <c r="D55" s="277"/>
      <c r="E55" s="277"/>
      <c r="F55" s="135"/>
      <c r="G55" s="135"/>
      <c r="H55" s="135"/>
      <c r="I55" s="317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</row>
    <row r="56" spans="2:41" s="140" customFormat="1" ht="12.75" x14ac:dyDescent="0.2">
      <c r="B56" s="147" t="s">
        <v>131</v>
      </c>
      <c r="C56" s="142" t="s">
        <v>132</v>
      </c>
      <c r="D56" s="278"/>
      <c r="E56" s="278"/>
      <c r="F56" s="143">
        <f t="shared" ref="F56:I56" si="23">SUM(F47:F55)</f>
        <v>0</v>
      </c>
      <c r="G56" s="143">
        <f t="shared" si="23"/>
        <v>0</v>
      </c>
      <c r="H56" s="143">
        <f t="shared" si="23"/>
        <v>0</v>
      </c>
      <c r="I56" s="315">
        <f t="shared" si="23"/>
        <v>0</v>
      </c>
      <c r="J56" s="318">
        <f>SUM(J47:J55)</f>
        <v>0</v>
      </c>
      <c r="K56" s="318">
        <f t="shared" ref="K56:AO56" si="24">SUM(K47:K55)</f>
        <v>0</v>
      </c>
      <c r="L56" s="318">
        <f t="shared" si="24"/>
        <v>0</v>
      </c>
      <c r="M56" s="318">
        <f t="shared" si="24"/>
        <v>0</v>
      </c>
      <c r="N56" s="318">
        <f t="shared" si="24"/>
        <v>0</v>
      </c>
      <c r="O56" s="318">
        <f t="shared" si="24"/>
        <v>0</v>
      </c>
      <c r="P56" s="318">
        <f t="shared" si="24"/>
        <v>0</v>
      </c>
      <c r="Q56" s="318">
        <f t="shared" si="24"/>
        <v>0</v>
      </c>
      <c r="R56" s="318">
        <f t="shared" si="24"/>
        <v>0</v>
      </c>
      <c r="S56" s="318">
        <f t="shared" si="24"/>
        <v>0</v>
      </c>
      <c r="T56" s="318">
        <f t="shared" si="24"/>
        <v>0</v>
      </c>
      <c r="U56" s="318">
        <f t="shared" si="24"/>
        <v>0</v>
      </c>
      <c r="V56" s="318">
        <f t="shared" si="24"/>
        <v>0</v>
      </c>
      <c r="W56" s="318">
        <f t="shared" si="24"/>
        <v>0</v>
      </c>
      <c r="X56" s="318">
        <f t="shared" si="24"/>
        <v>0</v>
      </c>
      <c r="Y56" s="318">
        <f t="shared" si="24"/>
        <v>0</v>
      </c>
      <c r="Z56" s="318">
        <f t="shared" si="24"/>
        <v>0</v>
      </c>
      <c r="AA56" s="318">
        <f t="shared" si="24"/>
        <v>0</v>
      </c>
      <c r="AB56" s="318">
        <f t="shared" si="24"/>
        <v>0</v>
      </c>
      <c r="AC56" s="318">
        <f t="shared" si="24"/>
        <v>0</v>
      </c>
      <c r="AD56" s="318">
        <f t="shared" si="24"/>
        <v>0</v>
      </c>
      <c r="AE56" s="318">
        <f t="shared" si="24"/>
        <v>0</v>
      </c>
      <c r="AF56" s="318">
        <f t="shared" si="24"/>
        <v>0</v>
      </c>
      <c r="AG56" s="318">
        <f t="shared" si="24"/>
        <v>0</v>
      </c>
      <c r="AH56" s="318">
        <f t="shared" si="24"/>
        <v>0</v>
      </c>
      <c r="AI56" s="318">
        <f t="shared" si="24"/>
        <v>0</v>
      </c>
      <c r="AJ56" s="318">
        <f t="shared" si="24"/>
        <v>0</v>
      </c>
      <c r="AK56" s="318">
        <f t="shared" si="24"/>
        <v>0</v>
      </c>
      <c r="AL56" s="318">
        <f t="shared" si="24"/>
        <v>0</v>
      </c>
      <c r="AM56" s="318">
        <f t="shared" si="24"/>
        <v>0</v>
      </c>
      <c r="AN56" s="318">
        <f t="shared" si="24"/>
        <v>0</v>
      </c>
      <c r="AO56" s="318">
        <f t="shared" si="24"/>
        <v>0</v>
      </c>
    </row>
    <row r="57" spans="2:41" x14ac:dyDescent="0.25">
      <c r="B57" s="150" t="s">
        <v>133</v>
      </c>
      <c r="C57" s="151" t="s">
        <v>134</v>
      </c>
      <c r="D57" s="152">
        <f t="shared" ref="D57:I57" si="25">+D56+D46+D41</f>
        <v>1444623209</v>
      </c>
      <c r="E57" s="152">
        <f t="shared" si="25"/>
        <v>476256545</v>
      </c>
      <c r="F57" s="152">
        <f t="shared" si="25"/>
        <v>1920879754</v>
      </c>
      <c r="G57" s="152">
        <f t="shared" si="25"/>
        <v>1441095452</v>
      </c>
      <c r="H57" s="152">
        <f t="shared" si="25"/>
        <v>476256545</v>
      </c>
      <c r="I57" s="335">
        <f t="shared" si="25"/>
        <v>1917351997</v>
      </c>
      <c r="J57" s="320">
        <f>+J56+J46+J41</f>
        <v>1818120</v>
      </c>
      <c r="K57" s="320">
        <f t="shared" ref="K57:AO57" si="26">+K56+K46+K41</f>
        <v>1818120</v>
      </c>
      <c r="L57" s="320">
        <f t="shared" si="26"/>
        <v>40705284</v>
      </c>
      <c r="M57" s="320">
        <f t="shared" si="26"/>
        <v>40705284</v>
      </c>
      <c r="N57" s="320">
        <f t="shared" si="26"/>
        <v>153047000</v>
      </c>
      <c r="O57" s="320">
        <f t="shared" si="26"/>
        <v>153047000</v>
      </c>
      <c r="P57" s="320">
        <f t="shared" si="26"/>
        <v>2886030</v>
      </c>
      <c r="Q57" s="320">
        <f t="shared" si="26"/>
        <v>2886030</v>
      </c>
      <c r="R57" s="320">
        <f t="shared" si="26"/>
        <v>1699120</v>
      </c>
      <c r="S57" s="320">
        <f t="shared" si="26"/>
        <v>1699120</v>
      </c>
      <c r="T57" s="320">
        <f t="shared" si="26"/>
        <v>0</v>
      </c>
      <c r="U57" s="320">
        <f t="shared" si="26"/>
        <v>0</v>
      </c>
      <c r="V57" s="320">
        <f t="shared" si="26"/>
        <v>15487550</v>
      </c>
      <c r="W57" s="320">
        <f t="shared" si="26"/>
        <v>15487550</v>
      </c>
      <c r="X57" s="320">
        <f t="shared" si="26"/>
        <v>538640000</v>
      </c>
      <c r="Y57" s="320">
        <f t="shared" si="26"/>
        <v>538640000</v>
      </c>
      <c r="Z57" s="320">
        <f t="shared" si="26"/>
        <v>14541728</v>
      </c>
      <c r="AA57" s="320">
        <f t="shared" si="26"/>
        <v>12592278</v>
      </c>
      <c r="AB57" s="320">
        <f t="shared" si="26"/>
        <v>15151853</v>
      </c>
      <c r="AC57" s="320">
        <f t="shared" si="26"/>
        <v>13573546</v>
      </c>
      <c r="AD57" s="320">
        <f t="shared" si="26"/>
        <v>449199000</v>
      </c>
      <c r="AE57" s="320">
        <f t="shared" si="26"/>
        <v>449199000</v>
      </c>
      <c r="AF57" s="320">
        <f t="shared" si="26"/>
        <v>34756243</v>
      </c>
      <c r="AG57" s="320">
        <f t="shared" si="26"/>
        <v>34756243</v>
      </c>
      <c r="AH57" s="320">
        <f t="shared" si="26"/>
        <v>83895229</v>
      </c>
      <c r="AI57" s="320">
        <f t="shared" si="26"/>
        <v>83895229</v>
      </c>
      <c r="AJ57" s="320">
        <f t="shared" si="26"/>
        <v>80060354</v>
      </c>
      <c r="AK57" s="320">
        <f t="shared" si="26"/>
        <v>80060354</v>
      </c>
      <c r="AL57" s="320">
        <f t="shared" si="26"/>
        <v>228378802</v>
      </c>
      <c r="AM57" s="320">
        <f t="shared" si="26"/>
        <v>228378802</v>
      </c>
      <c r="AN57" s="320">
        <f t="shared" si="26"/>
        <v>260613441</v>
      </c>
      <c r="AO57" s="320">
        <f t="shared" si="26"/>
        <v>260613441</v>
      </c>
    </row>
    <row r="58" spans="2:41" x14ac:dyDescent="0.25">
      <c r="B58" s="157" t="s">
        <v>135</v>
      </c>
      <c r="C58" s="158" t="s">
        <v>136</v>
      </c>
      <c r="D58" s="159">
        <f t="shared" ref="D58:I58" si="27">+D56+D46+D41+D32+D17+D16+D10+D9</f>
        <v>1517462809</v>
      </c>
      <c r="E58" s="159">
        <f t="shared" si="27"/>
        <v>977428359</v>
      </c>
      <c r="F58" s="159">
        <f t="shared" si="27"/>
        <v>2494891168</v>
      </c>
      <c r="G58" s="159">
        <f t="shared" si="27"/>
        <v>1513935052</v>
      </c>
      <c r="H58" s="159">
        <f t="shared" si="27"/>
        <v>973600392</v>
      </c>
      <c r="I58" s="336">
        <f t="shared" si="27"/>
        <v>2487535444</v>
      </c>
      <c r="J58" s="321">
        <f>+J56+J46+J41+J32+J17+J16+J10+J9</f>
        <v>2023255</v>
      </c>
      <c r="K58" s="321">
        <f t="shared" ref="K58:AO58" si="28">+K56+K46+K41+K32+K17+K16+K10+K9</f>
        <v>2023255</v>
      </c>
      <c r="L58" s="321">
        <f t="shared" si="28"/>
        <v>63711635</v>
      </c>
      <c r="M58" s="321">
        <f t="shared" si="28"/>
        <v>63711635</v>
      </c>
      <c r="N58" s="321">
        <f t="shared" si="28"/>
        <v>184822000</v>
      </c>
      <c r="O58" s="321">
        <f t="shared" si="28"/>
        <v>184822000</v>
      </c>
      <c r="P58" s="321">
        <f t="shared" si="28"/>
        <v>52650978</v>
      </c>
      <c r="Q58" s="321">
        <f t="shared" si="28"/>
        <v>52650978</v>
      </c>
      <c r="R58" s="321">
        <f t="shared" si="28"/>
        <v>301245547</v>
      </c>
      <c r="S58" s="321">
        <f t="shared" si="28"/>
        <v>297238137</v>
      </c>
      <c r="T58" s="321">
        <f t="shared" si="28"/>
        <v>27096899</v>
      </c>
      <c r="U58" s="321">
        <f t="shared" si="28"/>
        <v>27096899</v>
      </c>
      <c r="V58" s="321">
        <f t="shared" si="28"/>
        <v>15782675</v>
      </c>
      <c r="W58" s="321">
        <f t="shared" si="28"/>
        <v>15962118</v>
      </c>
      <c r="X58" s="321">
        <f t="shared" si="28"/>
        <v>549641249</v>
      </c>
      <c r="Y58" s="321">
        <f t="shared" si="28"/>
        <v>549641249</v>
      </c>
      <c r="Z58" s="321">
        <f t="shared" si="28"/>
        <v>14541728</v>
      </c>
      <c r="AA58" s="321">
        <f t="shared" si="28"/>
        <v>12592278</v>
      </c>
      <c r="AB58" s="321">
        <f t="shared" si="28"/>
        <v>20616148</v>
      </c>
      <c r="AC58" s="321">
        <f t="shared" si="28"/>
        <v>19037841</v>
      </c>
      <c r="AD58" s="321">
        <f t="shared" si="28"/>
        <v>489445300</v>
      </c>
      <c r="AE58" s="321">
        <f t="shared" si="28"/>
        <v>489445300</v>
      </c>
      <c r="AF58" s="321">
        <f t="shared" si="28"/>
        <v>42031153</v>
      </c>
      <c r="AG58" s="321">
        <f t="shared" si="28"/>
        <v>42031153</v>
      </c>
      <c r="AH58" s="321">
        <f t="shared" si="28"/>
        <v>86937729</v>
      </c>
      <c r="AI58" s="321">
        <f t="shared" si="28"/>
        <v>86937729</v>
      </c>
      <c r="AJ58" s="321">
        <f t="shared" si="28"/>
        <v>85870700</v>
      </c>
      <c r="AK58" s="321">
        <f t="shared" si="28"/>
        <v>85870700</v>
      </c>
      <c r="AL58" s="321">
        <f t="shared" si="28"/>
        <v>228378802</v>
      </c>
      <c r="AM58" s="321">
        <f t="shared" si="28"/>
        <v>228378802</v>
      </c>
      <c r="AN58" s="321">
        <f t="shared" si="28"/>
        <v>330095370</v>
      </c>
      <c r="AO58" s="321">
        <f t="shared" si="28"/>
        <v>330095370</v>
      </c>
    </row>
    <row r="59" spans="2:41" hidden="1" x14ac:dyDescent="0.25">
      <c r="B59" s="160" t="s">
        <v>572</v>
      </c>
      <c r="C59" s="139" t="s">
        <v>162</v>
      </c>
      <c r="D59" s="279"/>
      <c r="E59" s="279"/>
      <c r="F59" s="161"/>
      <c r="G59" s="161"/>
      <c r="H59" s="161"/>
      <c r="I59" s="337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</row>
    <row r="60" spans="2:41" hidden="1" x14ac:dyDescent="0.25">
      <c r="B60" s="160" t="s">
        <v>163</v>
      </c>
      <c r="C60" s="139" t="s">
        <v>164</v>
      </c>
      <c r="D60" s="279"/>
      <c r="E60" s="279"/>
      <c r="F60" s="161"/>
      <c r="G60" s="161"/>
      <c r="H60" s="161"/>
      <c r="I60" s="337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</row>
    <row r="61" spans="2:41" hidden="1" x14ac:dyDescent="0.25">
      <c r="B61" s="156" t="s">
        <v>165</v>
      </c>
      <c r="C61" s="139" t="s">
        <v>166</v>
      </c>
      <c r="D61" s="279"/>
      <c r="E61" s="279"/>
      <c r="F61" s="162"/>
      <c r="G61" s="162"/>
      <c r="H61" s="162"/>
      <c r="I61" s="338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</row>
    <row r="62" spans="2:41" hidden="1" x14ac:dyDescent="0.25">
      <c r="B62" s="156" t="s">
        <v>167</v>
      </c>
      <c r="C62" s="139" t="s">
        <v>168</v>
      </c>
      <c r="D62" s="279"/>
      <c r="E62" s="279"/>
      <c r="F62" s="162"/>
      <c r="G62" s="162"/>
      <c r="H62" s="162"/>
      <c r="I62" s="338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</row>
    <row r="63" spans="2:41" x14ac:dyDescent="0.25">
      <c r="B63" s="163" t="s">
        <v>169</v>
      </c>
      <c r="C63" s="164" t="s">
        <v>170</v>
      </c>
      <c r="D63" s="165">
        <f t="shared" ref="D63:I63" si="29">+D61+D60+D59</f>
        <v>0</v>
      </c>
      <c r="E63" s="165">
        <f t="shared" si="29"/>
        <v>0</v>
      </c>
      <c r="F63" s="165">
        <f t="shared" si="29"/>
        <v>0</v>
      </c>
      <c r="G63" s="165">
        <f t="shared" si="29"/>
        <v>0</v>
      </c>
      <c r="H63" s="165">
        <f t="shared" si="29"/>
        <v>0</v>
      </c>
      <c r="I63" s="339">
        <f t="shared" si="29"/>
        <v>0</v>
      </c>
      <c r="J63" s="324">
        <f>+J61+J60+J59</f>
        <v>0</v>
      </c>
      <c r="K63" s="324">
        <f t="shared" ref="K63:AO63" si="30">+K61+K60+K59</f>
        <v>0</v>
      </c>
      <c r="L63" s="324">
        <f t="shared" si="30"/>
        <v>0</v>
      </c>
      <c r="M63" s="324">
        <f t="shared" si="30"/>
        <v>0</v>
      </c>
      <c r="N63" s="324">
        <f t="shared" si="30"/>
        <v>0</v>
      </c>
      <c r="O63" s="324">
        <f t="shared" si="30"/>
        <v>0</v>
      </c>
      <c r="P63" s="324">
        <f t="shared" si="30"/>
        <v>0</v>
      </c>
      <c r="Q63" s="324">
        <f t="shared" si="30"/>
        <v>0</v>
      </c>
      <c r="R63" s="324">
        <f t="shared" si="30"/>
        <v>0</v>
      </c>
      <c r="S63" s="324">
        <f t="shared" si="30"/>
        <v>0</v>
      </c>
      <c r="T63" s="324">
        <f t="shared" si="30"/>
        <v>0</v>
      </c>
      <c r="U63" s="324">
        <f t="shared" si="30"/>
        <v>0</v>
      </c>
      <c r="V63" s="324">
        <f t="shared" si="30"/>
        <v>0</v>
      </c>
      <c r="W63" s="324">
        <f t="shared" si="30"/>
        <v>0</v>
      </c>
      <c r="X63" s="324">
        <f t="shared" si="30"/>
        <v>0</v>
      </c>
      <c r="Y63" s="324">
        <f t="shared" si="30"/>
        <v>0</v>
      </c>
      <c r="Z63" s="324">
        <f t="shared" si="30"/>
        <v>0</v>
      </c>
      <c r="AA63" s="324">
        <f t="shared" si="30"/>
        <v>0</v>
      </c>
      <c r="AB63" s="324">
        <f t="shared" si="30"/>
        <v>0</v>
      </c>
      <c r="AC63" s="324">
        <f t="shared" si="30"/>
        <v>0</v>
      </c>
      <c r="AD63" s="324">
        <f t="shared" si="30"/>
        <v>0</v>
      </c>
      <c r="AE63" s="324">
        <f t="shared" si="30"/>
        <v>0</v>
      </c>
      <c r="AF63" s="324">
        <f t="shared" si="30"/>
        <v>0</v>
      </c>
      <c r="AG63" s="324">
        <f t="shared" si="30"/>
        <v>0</v>
      </c>
      <c r="AH63" s="324">
        <f t="shared" si="30"/>
        <v>0</v>
      </c>
      <c r="AI63" s="324">
        <f t="shared" si="30"/>
        <v>0</v>
      </c>
      <c r="AJ63" s="324">
        <f t="shared" si="30"/>
        <v>0</v>
      </c>
      <c r="AK63" s="324">
        <f t="shared" si="30"/>
        <v>0</v>
      </c>
      <c r="AL63" s="324">
        <f t="shared" si="30"/>
        <v>0</v>
      </c>
      <c r="AM63" s="324">
        <f t="shared" si="30"/>
        <v>0</v>
      </c>
      <c r="AN63" s="324">
        <f t="shared" si="30"/>
        <v>0</v>
      </c>
      <c r="AO63" s="324">
        <f t="shared" si="30"/>
        <v>0</v>
      </c>
    </row>
    <row r="64" spans="2:41" x14ac:dyDescent="0.25">
      <c r="B64" s="166" t="s">
        <v>171</v>
      </c>
      <c r="C64" s="166" t="s">
        <v>172</v>
      </c>
      <c r="D64" s="167">
        <f t="shared" ref="D64:I64" si="31">+D58+D63</f>
        <v>1517462809</v>
      </c>
      <c r="E64" s="167">
        <f t="shared" si="31"/>
        <v>977428359</v>
      </c>
      <c r="F64" s="167">
        <f t="shared" si="31"/>
        <v>2494891168</v>
      </c>
      <c r="G64" s="167">
        <f t="shared" si="31"/>
        <v>1513935052</v>
      </c>
      <c r="H64" s="167">
        <f t="shared" si="31"/>
        <v>973600392</v>
      </c>
      <c r="I64" s="340">
        <f t="shared" si="31"/>
        <v>2487535444</v>
      </c>
      <c r="J64" s="325">
        <f>+J58+J63</f>
        <v>2023255</v>
      </c>
      <c r="K64" s="325">
        <f t="shared" ref="K64:AO64" si="32">+K58+K63</f>
        <v>2023255</v>
      </c>
      <c r="L64" s="325">
        <f t="shared" si="32"/>
        <v>63711635</v>
      </c>
      <c r="M64" s="325">
        <f t="shared" si="32"/>
        <v>63711635</v>
      </c>
      <c r="N64" s="325">
        <f t="shared" si="32"/>
        <v>184822000</v>
      </c>
      <c r="O64" s="325">
        <f t="shared" si="32"/>
        <v>184822000</v>
      </c>
      <c r="P64" s="325">
        <f t="shared" si="32"/>
        <v>52650978</v>
      </c>
      <c r="Q64" s="325">
        <f t="shared" si="32"/>
        <v>52650978</v>
      </c>
      <c r="R64" s="325">
        <f t="shared" si="32"/>
        <v>301245547</v>
      </c>
      <c r="S64" s="325">
        <f t="shared" si="32"/>
        <v>297238137</v>
      </c>
      <c r="T64" s="325">
        <f t="shared" si="32"/>
        <v>27096899</v>
      </c>
      <c r="U64" s="325">
        <f t="shared" si="32"/>
        <v>27096899</v>
      </c>
      <c r="V64" s="325">
        <f t="shared" si="32"/>
        <v>15782675</v>
      </c>
      <c r="W64" s="325">
        <f t="shared" si="32"/>
        <v>15962118</v>
      </c>
      <c r="X64" s="325">
        <f t="shared" si="32"/>
        <v>549641249</v>
      </c>
      <c r="Y64" s="325">
        <f t="shared" si="32"/>
        <v>549641249</v>
      </c>
      <c r="Z64" s="325">
        <f t="shared" si="32"/>
        <v>14541728</v>
      </c>
      <c r="AA64" s="325">
        <f t="shared" si="32"/>
        <v>12592278</v>
      </c>
      <c r="AB64" s="325">
        <f t="shared" si="32"/>
        <v>20616148</v>
      </c>
      <c r="AC64" s="325">
        <f t="shared" si="32"/>
        <v>19037841</v>
      </c>
      <c r="AD64" s="325">
        <f t="shared" si="32"/>
        <v>489445300</v>
      </c>
      <c r="AE64" s="325">
        <f t="shared" si="32"/>
        <v>489445300</v>
      </c>
      <c r="AF64" s="325">
        <f t="shared" si="32"/>
        <v>42031153</v>
      </c>
      <c r="AG64" s="325">
        <f t="shared" si="32"/>
        <v>42031153</v>
      </c>
      <c r="AH64" s="325">
        <f t="shared" si="32"/>
        <v>86937729</v>
      </c>
      <c r="AI64" s="325">
        <f t="shared" si="32"/>
        <v>86937729</v>
      </c>
      <c r="AJ64" s="325">
        <f t="shared" si="32"/>
        <v>85870700</v>
      </c>
      <c r="AK64" s="325">
        <f t="shared" si="32"/>
        <v>85870700</v>
      </c>
      <c r="AL64" s="325">
        <f t="shared" si="32"/>
        <v>228378802</v>
      </c>
      <c r="AM64" s="325">
        <f t="shared" si="32"/>
        <v>228378802</v>
      </c>
      <c r="AN64" s="325">
        <f t="shared" si="32"/>
        <v>330095370</v>
      </c>
      <c r="AO64" s="325">
        <f t="shared" si="32"/>
        <v>330095370</v>
      </c>
    </row>
    <row r="65" spans="2:41" s="122" customFormat="1" ht="12.75" x14ac:dyDescent="0.2"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</row>
    <row r="66" spans="2:41" s="128" customFormat="1" ht="13.5" customHeight="1" x14ac:dyDescent="0.2">
      <c r="B66" s="129"/>
      <c r="D66" s="437"/>
      <c r="E66" s="437"/>
      <c r="F66" s="437"/>
      <c r="G66" s="437"/>
      <c r="H66" s="437"/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I66" s="437"/>
      <c r="AJ66" s="437"/>
      <c r="AK66" s="437"/>
      <c r="AL66" s="437"/>
      <c r="AM66" s="437"/>
      <c r="AN66" s="437"/>
      <c r="AO66" s="437"/>
    </row>
    <row r="67" spans="2:41" s="131" customFormat="1" ht="117.75" hidden="1" customHeight="1" x14ac:dyDescent="0.25">
      <c r="B67" s="112" t="s">
        <v>8</v>
      </c>
      <c r="C67" s="269" t="s">
        <v>33</v>
      </c>
      <c r="D67" s="275" t="s">
        <v>532</v>
      </c>
      <c r="E67" s="275" t="s">
        <v>534</v>
      </c>
      <c r="F67" s="408" t="str">
        <f>+F6</f>
        <v>Összesen</v>
      </c>
      <c r="G67" s="267"/>
      <c r="H67" s="267"/>
      <c r="I67" s="403" t="str">
        <f t="shared" ref="I67:AO67" si="33">+I6</f>
        <v>Összesen</v>
      </c>
      <c r="J67" s="402" t="str">
        <f t="shared" si="33"/>
        <v>TOP-3.2.2-15-SO1-2016-00002 A barcsi fürdő gázmotoros energetikai fejlesztése                         518</v>
      </c>
      <c r="K67" s="402">
        <f t="shared" si="33"/>
        <v>0</v>
      </c>
      <c r="L67" s="402" t="str">
        <f t="shared" si="33"/>
        <v>Barcs Drávatamási kerékpárút                       515</v>
      </c>
      <c r="M67" s="402">
        <f t="shared" si="33"/>
        <v>0</v>
      </c>
      <c r="N67" s="402" t="str">
        <f t="shared" si="33"/>
        <v>Barcs Drávaszentes kerékpárút                       544</v>
      </c>
      <c r="O67" s="402">
        <f t="shared" si="33"/>
        <v>0</v>
      </c>
      <c r="P67" s="402" t="str">
        <f t="shared" si="33"/>
        <v>EFOP-1.5.3-16-2017-00055 ”Kultúrák összefogása a közösségért”        537</v>
      </c>
      <c r="Q67" s="402">
        <f t="shared" si="33"/>
        <v>0</v>
      </c>
      <c r="R67" s="402" t="str">
        <f t="shared" si="33"/>
        <v>EFOP-1.4.2-16-2016-00004 Kezünkben a JÖVŐ- a barcsi járás integrált gyermek programja              531</v>
      </c>
      <c r="S67" s="402">
        <f t="shared" si="33"/>
        <v>0</v>
      </c>
      <c r="T67" s="402" t="str">
        <f t="shared" si="33"/>
        <v>TOP-5.1.2-15-SO1-2016-00001 Foglalkoztatási Paktum Barcs és térségében         525</v>
      </c>
      <c r="U67" s="402">
        <f t="shared" si="33"/>
        <v>0</v>
      </c>
      <c r="V67" s="402" t="str">
        <f t="shared" si="33"/>
        <v xml:space="preserve"> EFOP-2.1.2-16-2017-00004 A Barcsi járás integrált térségi gyerekprogramjához szükséges infrastruktúra kialakítása                              538</v>
      </c>
      <c r="W67" s="402">
        <f t="shared" si="33"/>
        <v>0</v>
      </c>
      <c r="X67" s="402" t="str">
        <f t="shared" si="33"/>
        <v>TOP-1.1.1-16-SO1-2017-00005 Zöldmezős iparterület infrastrukturális fejlesztése Barcson           540</v>
      </c>
      <c r="Y67" s="402">
        <f t="shared" si="33"/>
        <v>0</v>
      </c>
      <c r="Z67" s="402" t="str">
        <f t="shared" si="33"/>
        <v xml:space="preserve"> TOP-4.3.1-15-SO1-2016-00003 Barcs északnyugati városrész infrastrukturális fejlesztése                       524</v>
      </c>
      <c r="AA67" s="402">
        <f t="shared" si="33"/>
        <v>0</v>
      </c>
      <c r="AB67" s="402" t="str">
        <f t="shared" si="33"/>
        <v>TOP-4.3.1-15-SO1-2016-00002 Barcs Klapka utcai szegregátum rehabilitációja           517</v>
      </c>
      <c r="AC67" s="402">
        <f t="shared" si="33"/>
        <v>0</v>
      </c>
      <c r="AD67" s="402" t="str">
        <f t="shared" si="33"/>
        <v>TOP-2.1.2-16-SO1-2017-00001 Zöld város fejlesztés Barcson         541</v>
      </c>
      <c r="AE67" s="402">
        <f t="shared" si="33"/>
        <v>0</v>
      </c>
      <c r="AF67" s="402" t="str">
        <f t="shared" si="33"/>
        <v>TOP-3.1.1-15-SO1-2016-00009 Kerékpáros hálózat fejlesztése Barcson        516</v>
      </c>
      <c r="AG67" s="402">
        <f t="shared" si="33"/>
        <v>0</v>
      </c>
      <c r="AH67" s="402" t="str">
        <f t="shared" si="33"/>
        <v>Barcs szennyvíztisztitó fejlesztés                         530</v>
      </c>
      <c r="AI67" s="402">
        <f t="shared" si="33"/>
        <v>0</v>
      </c>
      <c r="AJ67" s="402" t="str">
        <f t="shared" si="33"/>
        <v>TOP-7.1.1-16 -2016-00016 Közös Többszörös      529</v>
      </c>
      <c r="AK67" s="402">
        <f t="shared" si="33"/>
        <v>0</v>
      </c>
      <c r="AL67" s="402" t="str">
        <f t="shared" si="33"/>
        <v>TOP-1.4.1-19 Napsugár Bölcsöde fejlesztése            548</v>
      </c>
      <c r="AM67" s="402">
        <f t="shared" si="33"/>
        <v>0</v>
      </c>
      <c r="AN67" s="402" t="str">
        <f t="shared" si="33"/>
        <v>Sóraktár túrisztikai célú hasznosítása                    539</v>
      </c>
      <c r="AO67" s="402">
        <f t="shared" si="33"/>
        <v>0</v>
      </c>
    </row>
    <row r="68" spans="2:41" s="122" customFormat="1" ht="12.75" hidden="1" x14ac:dyDescent="0.2">
      <c r="B68" s="139" t="s">
        <v>573</v>
      </c>
      <c r="C68" s="154" t="s">
        <v>187</v>
      </c>
      <c r="D68" s="280"/>
      <c r="E68" s="280"/>
      <c r="F68" s="136"/>
      <c r="G68" s="136"/>
      <c r="H68" s="136"/>
      <c r="I68" s="31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</row>
    <row r="69" spans="2:41" hidden="1" x14ac:dyDescent="0.25">
      <c r="B69" s="139" t="s">
        <v>188</v>
      </c>
      <c r="C69" s="154" t="s">
        <v>189</v>
      </c>
      <c r="D69" s="281"/>
      <c r="E69" s="281"/>
      <c r="F69" s="137"/>
      <c r="G69" s="137"/>
      <c r="H69" s="137"/>
      <c r="I69" s="345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</row>
    <row r="70" spans="2:41" ht="27.75" hidden="1" customHeight="1" x14ac:dyDescent="0.25">
      <c r="B70" s="139" t="s">
        <v>574</v>
      </c>
      <c r="C70" s="154" t="s">
        <v>191</v>
      </c>
      <c r="D70" s="281"/>
      <c r="E70" s="281"/>
      <c r="F70" s="137"/>
      <c r="G70" s="137"/>
      <c r="H70" s="137"/>
      <c r="I70" s="345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/>
    </row>
    <row r="71" spans="2:41" ht="27.75" hidden="1" customHeight="1" x14ac:dyDescent="0.25">
      <c r="B71" s="139" t="s">
        <v>575</v>
      </c>
      <c r="C71" s="154" t="s">
        <v>193</v>
      </c>
      <c r="D71" s="281"/>
      <c r="E71" s="281"/>
      <c r="F71" s="137"/>
      <c r="G71" s="137"/>
      <c r="H71" s="137"/>
      <c r="I71" s="345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  <c r="AO71" s="329"/>
    </row>
    <row r="72" spans="2:41" ht="26.25" hidden="1" customHeight="1" x14ac:dyDescent="0.25">
      <c r="B72" s="139" t="s">
        <v>576</v>
      </c>
      <c r="C72" s="154" t="s">
        <v>195</v>
      </c>
      <c r="D72" s="287"/>
      <c r="E72" s="287"/>
      <c r="F72" s="326"/>
      <c r="G72" s="326"/>
      <c r="H72" s="326"/>
      <c r="I72" s="404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</row>
    <row r="73" spans="2:41" x14ac:dyDescent="0.25">
      <c r="B73" s="139" t="s">
        <v>196</v>
      </c>
      <c r="C73" s="286" t="s">
        <v>197</v>
      </c>
      <c r="D73" s="288">
        <f>+Z73+AB73+AD73+AH73+AJ73+X73+AF73+AL73</f>
        <v>0</v>
      </c>
      <c r="E73" s="288">
        <f>+J73+L73+N73+P73+R73+T73+V73+AN73</f>
        <v>304960167</v>
      </c>
      <c r="F73" s="313">
        <f>+E73+D73</f>
        <v>304960167</v>
      </c>
      <c r="G73" s="288">
        <f>+AA73+AC73+AE73+AI73+AK73+Y73+AG73+AM73</f>
        <v>0</v>
      </c>
      <c r="H73" s="288">
        <f>+K73+M73+O73+Q73+S73+U73+W73+AO73</f>
        <v>304960167</v>
      </c>
      <c r="I73" s="426">
        <f>+H73+G73</f>
        <v>304960167</v>
      </c>
      <c r="J73" s="264"/>
      <c r="K73" s="264"/>
      <c r="L73" s="264"/>
      <c r="M73" s="264"/>
      <c r="N73" s="264"/>
      <c r="O73" s="264"/>
      <c r="P73" s="264">
        <f>+'4 Átvett és Felh bev'!E17</f>
        <v>8160942</v>
      </c>
      <c r="Q73" s="264">
        <f>+'4 Átvett és Felh bev'!G17</f>
        <v>8160942</v>
      </c>
      <c r="R73" s="264">
        <f>+'4 Átvett és Felh bev'!E18</f>
        <v>296799225</v>
      </c>
      <c r="S73" s="264">
        <f>+'4 Átvett és Felh bev'!G18</f>
        <v>296799225</v>
      </c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</row>
    <row r="74" spans="2:41" s="140" customFormat="1" ht="12.75" x14ac:dyDescent="0.2">
      <c r="B74" s="144" t="s">
        <v>198</v>
      </c>
      <c r="C74" s="155" t="s">
        <v>199</v>
      </c>
      <c r="D74" s="170">
        <f>+D73+D72+D71+D70+D69+D68</f>
        <v>0</v>
      </c>
      <c r="E74" s="170">
        <f>+E73+E72+E71+E70+E69+E68</f>
        <v>304960167</v>
      </c>
      <c r="F74" s="342">
        <f>+F73+F72+F71+F70+F69+F68</f>
        <v>304960167</v>
      </c>
      <c r="G74" s="429">
        <f>+AA74+AC74+AE74+AI74+AK74+Y74+AG74+AM74</f>
        <v>0</v>
      </c>
      <c r="H74" s="429">
        <f>+K74+M74+O74+Q74+S74+U74+W74+AO74</f>
        <v>304960167</v>
      </c>
      <c r="I74" s="427">
        <f>+I73+I72+I71+I70+I69+I68</f>
        <v>304960167</v>
      </c>
      <c r="J74" s="318">
        <f t="shared" ref="J74:AO74" si="34">+J73+J72+J71+J70+J69+J68</f>
        <v>0</v>
      </c>
      <c r="K74" s="318">
        <f t="shared" si="34"/>
        <v>0</v>
      </c>
      <c r="L74" s="318">
        <f t="shared" si="34"/>
        <v>0</v>
      </c>
      <c r="M74" s="318">
        <f t="shared" si="34"/>
        <v>0</v>
      </c>
      <c r="N74" s="318">
        <f t="shared" si="34"/>
        <v>0</v>
      </c>
      <c r="O74" s="318">
        <f t="shared" si="34"/>
        <v>0</v>
      </c>
      <c r="P74" s="318">
        <f t="shared" si="34"/>
        <v>8160942</v>
      </c>
      <c r="Q74" s="318">
        <f t="shared" si="34"/>
        <v>8160942</v>
      </c>
      <c r="R74" s="318">
        <f t="shared" si="34"/>
        <v>296799225</v>
      </c>
      <c r="S74" s="318">
        <f t="shared" si="34"/>
        <v>296799225</v>
      </c>
      <c r="T74" s="318">
        <f t="shared" si="34"/>
        <v>0</v>
      </c>
      <c r="U74" s="318">
        <f t="shared" si="34"/>
        <v>0</v>
      </c>
      <c r="V74" s="318">
        <f t="shared" si="34"/>
        <v>0</v>
      </c>
      <c r="W74" s="318">
        <f t="shared" si="34"/>
        <v>0</v>
      </c>
      <c r="X74" s="318">
        <f t="shared" si="34"/>
        <v>0</v>
      </c>
      <c r="Y74" s="318">
        <f t="shared" si="34"/>
        <v>0</v>
      </c>
      <c r="Z74" s="318">
        <f t="shared" si="34"/>
        <v>0</v>
      </c>
      <c r="AA74" s="318">
        <f t="shared" si="34"/>
        <v>0</v>
      </c>
      <c r="AB74" s="318">
        <f t="shared" si="34"/>
        <v>0</v>
      </c>
      <c r="AC74" s="318">
        <f t="shared" si="34"/>
        <v>0</v>
      </c>
      <c r="AD74" s="318">
        <f t="shared" si="34"/>
        <v>0</v>
      </c>
      <c r="AE74" s="318">
        <f t="shared" si="34"/>
        <v>0</v>
      </c>
      <c r="AF74" s="318">
        <f t="shared" si="34"/>
        <v>0</v>
      </c>
      <c r="AG74" s="318">
        <f t="shared" si="34"/>
        <v>0</v>
      </c>
      <c r="AH74" s="318">
        <f t="shared" si="34"/>
        <v>0</v>
      </c>
      <c r="AI74" s="318">
        <f t="shared" si="34"/>
        <v>0</v>
      </c>
      <c r="AJ74" s="318">
        <f t="shared" si="34"/>
        <v>0</v>
      </c>
      <c r="AK74" s="318">
        <f t="shared" si="34"/>
        <v>0</v>
      </c>
      <c r="AL74" s="318">
        <f t="shared" si="34"/>
        <v>0</v>
      </c>
      <c r="AM74" s="318">
        <f t="shared" si="34"/>
        <v>0</v>
      </c>
      <c r="AN74" s="318">
        <f t="shared" si="34"/>
        <v>0</v>
      </c>
      <c r="AO74" s="318">
        <f t="shared" si="34"/>
        <v>0</v>
      </c>
    </row>
    <row r="75" spans="2:41" s="140" customFormat="1" ht="12.75" x14ac:dyDescent="0.2">
      <c r="B75" s="144" t="s">
        <v>200</v>
      </c>
      <c r="C75" s="155" t="s">
        <v>201</v>
      </c>
      <c r="D75" s="285">
        <f>+Z75+AB75+AD75+AH75+AJ75+X75+AF75+AL75</f>
        <v>342556378</v>
      </c>
      <c r="E75" s="285">
        <f>+J75+L75+N75+P75+R75+T75+V75+AN75</f>
        <v>502853243</v>
      </c>
      <c r="F75" s="334">
        <f>+E75+D75</f>
        <v>845409621</v>
      </c>
      <c r="G75" s="429">
        <f>+AA75+AC75+AE75+AI75+AK75+Y75+AG75+AM75</f>
        <v>342556378</v>
      </c>
      <c r="H75" s="429">
        <f>+K75+M75+O75+Q75+S75+U75+W75+AO75</f>
        <v>502853243</v>
      </c>
      <c r="I75" s="428">
        <f>+H75+G75</f>
        <v>845409621</v>
      </c>
      <c r="J75" s="319"/>
      <c r="K75" s="319"/>
      <c r="L75" s="319"/>
      <c r="M75" s="319"/>
      <c r="N75" s="319">
        <f>+'4 Átvett és Felh bev'!E38+'4 Átvett és Felh bev'!E45</f>
        <v>175581000</v>
      </c>
      <c r="O75" s="319">
        <f>+'4 Átvett és Felh bev'!G38+'4 Átvett és Felh bev'!G45</f>
        <v>175581000</v>
      </c>
      <c r="P75" s="319"/>
      <c r="Q75" s="319"/>
      <c r="R75" s="319"/>
      <c r="S75" s="319"/>
      <c r="T75" s="319"/>
      <c r="U75" s="319"/>
      <c r="V75" s="327">
        <f>+'4 Átvett és Felh bev'!E44</f>
        <v>13681493</v>
      </c>
      <c r="W75" s="327">
        <f>+'4 Átvett és Felh bev'!G44</f>
        <v>13681493</v>
      </c>
      <c r="X75" s="319"/>
      <c r="Y75" s="319"/>
      <c r="Z75" s="319"/>
      <c r="AA75" s="319"/>
      <c r="AB75" s="327">
        <f>+'4 Átvett és Felh bev'!D47</f>
        <v>9749917</v>
      </c>
      <c r="AC75" s="327">
        <f>+'4 Átvett és Felh bev'!F47</f>
        <v>9749917</v>
      </c>
      <c r="AD75" s="319"/>
      <c r="AE75" s="319"/>
      <c r="AF75" s="319">
        <f>+'4 Átvett és Felh bev'!D46</f>
        <v>17489930</v>
      </c>
      <c r="AG75" s="319">
        <f>+'4 Átvett és Felh bev'!F46</f>
        <v>17489930</v>
      </c>
      <c r="AH75" s="327">
        <f>+'4 Átvett és Felh bev'!D48</f>
        <v>86937729</v>
      </c>
      <c r="AI75" s="327">
        <f>+'4 Átvett és Felh bev'!F48</f>
        <v>86937729</v>
      </c>
      <c r="AJ75" s="327"/>
      <c r="AK75" s="327"/>
      <c r="AL75" s="327">
        <f>+'4 Átvett és Felh bev'!D43</f>
        <v>228378802</v>
      </c>
      <c r="AM75" s="327">
        <f>+'4 Átvett és Felh bev'!F43</f>
        <v>228378802</v>
      </c>
      <c r="AN75" s="327">
        <f>+'4 Átvett és Felh bev'!E42</f>
        <v>313590750</v>
      </c>
      <c r="AO75" s="327">
        <f>+'4 Átvett és Felh bev'!G42</f>
        <v>313590750</v>
      </c>
    </row>
    <row r="76" spans="2:41" ht="15" hidden="1" customHeight="1" x14ac:dyDescent="0.25">
      <c r="B76" s="139" t="s">
        <v>202</v>
      </c>
      <c r="C76" s="154" t="s">
        <v>203</v>
      </c>
      <c r="D76" s="281"/>
      <c r="E76" s="281"/>
      <c r="F76" s="268"/>
      <c r="G76" s="332"/>
      <c r="H76" s="332"/>
      <c r="I76" s="343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</row>
    <row r="77" spans="2:41" ht="15" hidden="1" customHeight="1" x14ac:dyDescent="0.25">
      <c r="B77" s="139" t="s">
        <v>204</v>
      </c>
      <c r="C77" s="154" t="s">
        <v>205</v>
      </c>
      <c r="D77" s="281"/>
      <c r="E77" s="281"/>
      <c r="F77" s="268"/>
      <c r="G77" s="268"/>
      <c r="H77" s="268"/>
      <c r="I77" s="343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</row>
    <row r="78" spans="2:41" ht="15" hidden="1" customHeight="1" x14ac:dyDescent="0.25">
      <c r="B78" s="139" t="s">
        <v>206</v>
      </c>
      <c r="C78" s="154" t="s">
        <v>207</v>
      </c>
      <c r="D78" s="281"/>
      <c r="E78" s="281"/>
      <c r="F78" s="268"/>
      <c r="G78" s="268"/>
      <c r="H78" s="268"/>
      <c r="I78" s="343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</row>
    <row r="79" spans="2:41" ht="15" hidden="1" customHeight="1" x14ac:dyDescent="0.25">
      <c r="B79" s="139" t="s">
        <v>208</v>
      </c>
      <c r="C79" s="154" t="s">
        <v>209</v>
      </c>
      <c r="D79" s="281"/>
      <c r="E79" s="281"/>
      <c r="F79" s="268"/>
      <c r="G79" s="268"/>
      <c r="H79" s="268"/>
      <c r="I79" s="343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</row>
    <row r="80" spans="2:41" ht="15" hidden="1" customHeight="1" x14ac:dyDescent="0.25">
      <c r="B80" s="139" t="s">
        <v>210</v>
      </c>
      <c r="C80" s="154" t="s">
        <v>211</v>
      </c>
      <c r="D80" s="281"/>
      <c r="E80" s="281"/>
      <c r="F80" s="268"/>
      <c r="G80" s="268"/>
      <c r="H80" s="268"/>
      <c r="I80" s="343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</row>
    <row r="81" spans="2:41" ht="15" hidden="1" customHeight="1" x14ac:dyDescent="0.25">
      <c r="B81" s="139" t="s">
        <v>212</v>
      </c>
      <c r="C81" s="154" t="s">
        <v>213</v>
      </c>
      <c r="D81" s="281"/>
      <c r="E81" s="281"/>
      <c r="F81" s="268"/>
      <c r="G81" s="268"/>
      <c r="H81" s="268"/>
      <c r="I81" s="343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</row>
    <row r="82" spans="2:41" s="140" customFormat="1" ht="12.75" x14ac:dyDescent="0.2">
      <c r="B82" s="144" t="s">
        <v>214</v>
      </c>
      <c r="C82" s="155" t="s">
        <v>215</v>
      </c>
      <c r="D82" s="282"/>
      <c r="E82" s="282"/>
      <c r="F82" s="268">
        <f>SUM(J82:AJ82)</f>
        <v>0</v>
      </c>
      <c r="G82" s="268"/>
      <c r="H82" s="268"/>
      <c r="I82" s="343">
        <f>SUM(M82:AM82)</f>
        <v>0</v>
      </c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</row>
    <row r="83" spans="2:41" hidden="1" x14ac:dyDescent="0.25">
      <c r="B83" s="156" t="s">
        <v>577</v>
      </c>
      <c r="C83" s="154" t="s">
        <v>217</v>
      </c>
      <c r="D83" s="281"/>
      <c r="E83" s="281"/>
      <c r="F83" s="268"/>
      <c r="G83" s="268"/>
      <c r="H83" s="268"/>
      <c r="I83" s="343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</row>
    <row r="84" spans="2:41" hidden="1" x14ac:dyDescent="0.25">
      <c r="B84" s="156" t="s">
        <v>218</v>
      </c>
      <c r="C84" s="154" t="s">
        <v>219</v>
      </c>
      <c r="D84" s="281"/>
      <c r="E84" s="281"/>
      <c r="F84" s="268"/>
      <c r="G84" s="268"/>
      <c r="H84" s="268"/>
      <c r="I84" s="343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</row>
    <row r="85" spans="2:41" hidden="1" x14ac:dyDescent="0.25">
      <c r="B85" s="156" t="s">
        <v>220</v>
      </c>
      <c r="C85" s="154" t="s">
        <v>221</v>
      </c>
      <c r="D85" s="281"/>
      <c r="E85" s="281"/>
      <c r="F85" s="268"/>
      <c r="G85" s="268"/>
      <c r="H85" s="268"/>
      <c r="I85" s="343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</row>
    <row r="86" spans="2:41" ht="15" hidden="1" customHeight="1" x14ac:dyDescent="0.25">
      <c r="B86" s="156" t="s">
        <v>222</v>
      </c>
      <c r="C86" s="154" t="s">
        <v>223</v>
      </c>
      <c r="D86" s="281"/>
      <c r="E86" s="281"/>
      <c r="F86" s="268"/>
      <c r="G86" s="268"/>
      <c r="H86" s="268"/>
      <c r="I86" s="343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</row>
    <row r="87" spans="2:41" ht="15" hidden="1" customHeight="1" x14ac:dyDescent="0.25">
      <c r="B87" s="156" t="s">
        <v>224</v>
      </c>
      <c r="C87" s="154" t="s">
        <v>225</v>
      </c>
      <c r="D87" s="281"/>
      <c r="E87" s="281"/>
      <c r="F87" s="268"/>
      <c r="G87" s="268"/>
      <c r="H87" s="268"/>
      <c r="I87" s="343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</row>
    <row r="88" spans="2:41" hidden="1" x14ac:dyDescent="0.25">
      <c r="B88" s="156" t="s">
        <v>226</v>
      </c>
      <c r="C88" s="154" t="s">
        <v>227</v>
      </c>
      <c r="D88" s="281"/>
      <c r="E88" s="281"/>
      <c r="F88" s="268"/>
      <c r="G88" s="268"/>
      <c r="H88" s="268"/>
      <c r="I88" s="343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</row>
    <row r="89" spans="2:41" hidden="1" x14ac:dyDescent="0.25">
      <c r="B89" s="156" t="s">
        <v>228</v>
      </c>
      <c r="C89" s="154" t="s">
        <v>229</v>
      </c>
      <c r="D89" s="281"/>
      <c r="E89" s="281"/>
      <c r="F89" s="268"/>
      <c r="G89" s="268"/>
      <c r="H89" s="268"/>
      <c r="I89" s="343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</row>
    <row r="90" spans="2:41" hidden="1" x14ac:dyDescent="0.25">
      <c r="B90" s="156" t="s">
        <v>230</v>
      </c>
      <c r="C90" s="154" t="s">
        <v>231</v>
      </c>
      <c r="D90" s="281"/>
      <c r="E90" s="281"/>
      <c r="F90" s="268"/>
      <c r="G90" s="268"/>
      <c r="H90" s="268"/>
      <c r="I90" s="343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</row>
    <row r="91" spans="2:41" hidden="1" x14ac:dyDescent="0.25">
      <c r="B91" s="156" t="s">
        <v>232</v>
      </c>
      <c r="C91" s="154" t="s">
        <v>233</v>
      </c>
      <c r="D91" s="281"/>
      <c r="E91" s="281"/>
      <c r="F91" s="268"/>
      <c r="G91" s="268"/>
      <c r="H91" s="268"/>
      <c r="I91" s="343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</row>
    <row r="92" spans="2:41" hidden="1" x14ac:dyDescent="0.25">
      <c r="B92" s="156" t="s">
        <v>234</v>
      </c>
      <c r="C92" s="154" t="s">
        <v>235</v>
      </c>
      <c r="D92" s="281"/>
      <c r="E92" s="281"/>
      <c r="F92" s="268"/>
      <c r="G92" s="268"/>
      <c r="H92" s="268"/>
      <c r="I92" s="343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</row>
    <row r="93" spans="2:41" hidden="1" x14ac:dyDescent="0.25">
      <c r="B93" s="156" t="s">
        <v>236</v>
      </c>
      <c r="C93" s="154" t="s">
        <v>237</v>
      </c>
      <c r="D93" s="281"/>
      <c r="E93" s="281"/>
      <c r="F93" s="268"/>
      <c r="G93" s="268"/>
      <c r="H93" s="268"/>
      <c r="I93" s="343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</row>
    <row r="94" spans="2:41" s="140" customFormat="1" ht="12.75" x14ac:dyDescent="0.2">
      <c r="B94" s="147" t="s">
        <v>238</v>
      </c>
      <c r="C94" s="155" t="s">
        <v>239</v>
      </c>
      <c r="D94" s="282"/>
      <c r="E94" s="282"/>
      <c r="F94" s="268">
        <f>SUM(J94:AJ94)</f>
        <v>0</v>
      </c>
      <c r="G94" s="268"/>
      <c r="H94" s="268"/>
      <c r="I94" s="343">
        <f>SUM(M94:AM94)</f>
        <v>0</v>
      </c>
      <c r="J94" s="318">
        <f t="shared" ref="J94:R94" si="35">SUM(J83:J93)</f>
        <v>0</v>
      </c>
      <c r="K94" s="318">
        <f t="shared" si="35"/>
        <v>0</v>
      </c>
      <c r="L94" s="318">
        <f t="shared" si="35"/>
        <v>0</v>
      </c>
      <c r="M94" s="318">
        <f t="shared" si="35"/>
        <v>0</v>
      </c>
      <c r="N94" s="318">
        <f t="shared" si="35"/>
        <v>0</v>
      </c>
      <c r="O94" s="318">
        <f t="shared" si="35"/>
        <v>0</v>
      </c>
      <c r="P94" s="318">
        <f t="shared" si="35"/>
        <v>0</v>
      </c>
      <c r="Q94" s="318">
        <f t="shared" si="35"/>
        <v>0</v>
      </c>
      <c r="R94" s="318">
        <f t="shared" si="35"/>
        <v>0</v>
      </c>
      <c r="S94" s="318"/>
      <c r="T94" s="318">
        <f>SUM(T83:T93)</f>
        <v>0</v>
      </c>
      <c r="U94" s="318">
        <f>SUM(U83:U93)</f>
        <v>0</v>
      </c>
      <c r="V94" s="318">
        <f>SUM(V83:V93)</f>
        <v>0</v>
      </c>
      <c r="W94" s="318"/>
      <c r="X94" s="318">
        <f>SUM(X83:X93)</f>
        <v>0</v>
      </c>
      <c r="Y94" s="318">
        <f>SUM(Y83:Y93)</f>
        <v>0</v>
      </c>
      <c r="Z94" s="318">
        <f>SUM(Z83:Z93)</f>
        <v>0</v>
      </c>
      <c r="AA94" s="318"/>
      <c r="AB94" s="318">
        <f t="shared" ref="AB94:AJ94" si="36">SUM(AB83:AB93)</f>
        <v>0</v>
      </c>
      <c r="AC94" s="318">
        <f t="shared" si="36"/>
        <v>0</v>
      </c>
      <c r="AD94" s="318">
        <f t="shared" si="36"/>
        <v>0</v>
      </c>
      <c r="AE94" s="318">
        <f t="shared" si="36"/>
        <v>0</v>
      </c>
      <c r="AF94" s="318">
        <f t="shared" si="36"/>
        <v>0</v>
      </c>
      <c r="AG94" s="318">
        <f t="shared" si="36"/>
        <v>0</v>
      </c>
      <c r="AH94" s="318">
        <f t="shared" si="36"/>
        <v>0</v>
      </c>
      <c r="AI94" s="318">
        <f t="shared" si="36"/>
        <v>0</v>
      </c>
      <c r="AJ94" s="318">
        <f t="shared" si="36"/>
        <v>0</v>
      </c>
      <c r="AK94" s="318"/>
      <c r="AL94" s="318">
        <f>SUM(AL83:AL93)</f>
        <v>0</v>
      </c>
      <c r="AM94" s="318"/>
      <c r="AN94" s="318">
        <f>SUM(AN83:AN93)</f>
        <v>0</v>
      </c>
      <c r="AO94" s="318"/>
    </row>
    <row r="95" spans="2:41" hidden="1" x14ac:dyDescent="0.25">
      <c r="B95" s="156" t="s">
        <v>240</v>
      </c>
      <c r="C95" s="154" t="s">
        <v>241</v>
      </c>
      <c r="D95" s="281"/>
      <c r="E95" s="281"/>
      <c r="F95" s="268"/>
      <c r="G95" s="268"/>
      <c r="H95" s="268"/>
      <c r="I95" s="343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</row>
    <row r="96" spans="2:41" hidden="1" x14ac:dyDescent="0.25">
      <c r="B96" s="156" t="s">
        <v>242</v>
      </c>
      <c r="C96" s="154" t="s">
        <v>243</v>
      </c>
      <c r="D96" s="281"/>
      <c r="E96" s="281"/>
      <c r="F96" s="268"/>
      <c r="G96" s="268"/>
      <c r="H96" s="268"/>
      <c r="I96" s="343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</row>
    <row r="97" spans="1:198" hidden="1" x14ac:dyDescent="0.25">
      <c r="B97" s="156" t="s">
        <v>244</v>
      </c>
      <c r="C97" s="154" t="s">
        <v>245</v>
      </c>
      <c r="D97" s="281"/>
      <c r="E97" s="281"/>
      <c r="F97" s="268"/>
      <c r="G97" s="268"/>
      <c r="H97" s="268"/>
      <c r="I97" s="343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</row>
    <row r="98" spans="1:198" hidden="1" x14ac:dyDescent="0.25">
      <c r="B98" s="156" t="s">
        <v>246</v>
      </c>
      <c r="C98" s="154" t="s">
        <v>247</v>
      </c>
      <c r="D98" s="281"/>
      <c r="E98" s="281"/>
      <c r="F98" s="268"/>
      <c r="G98" s="268"/>
      <c r="H98" s="268"/>
      <c r="I98" s="343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</row>
    <row r="99" spans="1:198" hidden="1" x14ac:dyDescent="0.25">
      <c r="B99" s="156" t="s">
        <v>248</v>
      </c>
      <c r="C99" s="154" t="s">
        <v>249</v>
      </c>
      <c r="D99" s="281"/>
      <c r="E99" s="281"/>
      <c r="F99" s="268"/>
      <c r="G99" s="268"/>
      <c r="H99" s="268"/>
      <c r="I99" s="343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</row>
    <row r="100" spans="1:198" s="140" customFormat="1" ht="12.75" x14ac:dyDescent="0.2">
      <c r="B100" s="144" t="s">
        <v>250</v>
      </c>
      <c r="C100" s="155" t="s">
        <v>251</v>
      </c>
      <c r="D100" s="282"/>
      <c r="E100" s="282"/>
      <c r="F100" s="268">
        <f>SUM(J100:AJ100)</f>
        <v>0</v>
      </c>
      <c r="G100" s="268"/>
      <c r="H100" s="268"/>
      <c r="I100" s="343">
        <f>SUM(M100:AM100)</f>
        <v>0</v>
      </c>
      <c r="J100" s="318">
        <f>SUM(J95:J99)</f>
        <v>0</v>
      </c>
      <c r="K100" s="318">
        <f>SUM(K95:K99)</f>
        <v>0</v>
      </c>
      <c r="L100" s="318">
        <f>SUM(L95:L99)</f>
        <v>0</v>
      </c>
      <c r="M100" s="318"/>
      <c r="N100" s="318">
        <f>SUM(N95:N99)</f>
        <v>0</v>
      </c>
      <c r="O100" s="318">
        <f>SUM(O95:O99)</f>
        <v>0</v>
      </c>
      <c r="P100" s="318">
        <f>SUM(P95:P99)</f>
        <v>0</v>
      </c>
      <c r="Q100" s="318">
        <f>SUM(Q95:Q99)</f>
        <v>0</v>
      </c>
      <c r="R100" s="318">
        <f>SUM(R95:R99)</f>
        <v>0</v>
      </c>
      <c r="S100" s="318"/>
      <c r="T100" s="318">
        <f>SUM(T95:T99)</f>
        <v>0</v>
      </c>
      <c r="U100" s="318">
        <f>SUM(U95:U99)</f>
        <v>0</v>
      </c>
      <c r="V100" s="318">
        <f>SUM(V95:V99)</f>
        <v>0</v>
      </c>
      <c r="W100" s="318"/>
      <c r="X100" s="318">
        <f>SUM(X95:X99)</f>
        <v>0</v>
      </c>
      <c r="Y100" s="318">
        <f>SUM(Y95:Y99)</f>
        <v>0</v>
      </c>
      <c r="Z100" s="318">
        <f>SUM(Z95:Z99)</f>
        <v>0</v>
      </c>
      <c r="AA100" s="318"/>
      <c r="AB100" s="318">
        <f t="shared" ref="AB100:AJ100" si="37">SUM(AB95:AB99)</f>
        <v>0</v>
      </c>
      <c r="AC100" s="318">
        <f t="shared" si="37"/>
        <v>0</v>
      </c>
      <c r="AD100" s="318">
        <f t="shared" si="37"/>
        <v>0</v>
      </c>
      <c r="AE100" s="318">
        <f t="shared" si="37"/>
        <v>0</v>
      </c>
      <c r="AF100" s="318">
        <f t="shared" si="37"/>
        <v>0</v>
      </c>
      <c r="AG100" s="318">
        <f t="shared" si="37"/>
        <v>0</v>
      </c>
      <c r="AH100" s="318">
        <f t="shared" si="37"/>
        <v>0</v>
      </c>
      <c r="AI100" s="318">
        <f t="shared" si="37"/>
        <v>0</v>
      </c>
      <c r="AJ100" s="318">
        <f t="shared" si="37"/>
        <v>0</v>
      </c>
      <c r="AK100" s="318"/>
      <c r="AL100" s="318">
        <f>SUM(AL95:AL99)</f>
        <v>0</v>
      </c>
      <c r="AM100" s="318"/>
      <c r="AN100" s="318">
        <f>SUM(AN95:AN99)</f>
        <v>0</v>
      </c>
      <c r="AO100" s="318"/>
    </row>
    <row r="101" spans="1:198" s="140" customFormat="1" ht="12.75" x14ac:dyDescent="0.2">
      <c r="B101" s="144" t="s">
        <v>252</v>
      </c>
      <c r="C101" s="155" t="s">
        <v>253</v>
      </c>
      <c r="D101" s="282"/>
      <c r="E101" s="282"/>
      <c r="F101" s="268">
        <f>SUM(J101:AJ101)</f>
        <v>0</v>
      </c>
      <c r="G101" s="268"/>
      <c r="H101" s="268"/>
      <c r="I101" s="343">
        <f>SUM(M101:AM101)</f>
        <v>0</v>
      </c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</row>
    <row r="102" spans="1:198" ht="27" hidden="1" customHeight="1" x14ac:dyDescent="0.25">
      <c r="B102" s="156" t="s">
        <v>578</v>
      </c>
      <c r="C102" s="154" t="s">
        <v>255</v>
      </c>
      <c r="D102" s="281"/>
      <c r="E102" s="281"/>
      <c r="F102" s="268"/>
      <c r="G102" s="268"/>
      <c r="H102" s="268"/>
      <c r="I102" s="343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</row>
    <row r="103" spans="1:198" hidden="1" x14ac:dyDescent="0.25">
      <c r="B103" s="139" t="s">
        <v>579</v>
      </c>
      <c r="C103" s="154" t="s">
        <v>257</v>
      </c>
      <c r="D103" s="281"/>
      <c r="E103" s="281"/>
      <c r="F103" s="268"/>
      <c r="G103" s="268"/>
      <c r="H103" s="268"/>
      <c r="I103" s="343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</row>
    <row r="104" spans="1:198" ht="27" hidden="1" customHeight="1" x14ac:dyDescent="0.25">
      <c r="B104" s="156" t="s">
        <v>258</v>
      </c>
      <c r="C104" s="154" t="s">
        <v>259</v>
      </c>
      <c r="D104" s="281"/>
      <c r="E104" s="281"/>
      <c r="F104" s="268"/>
      <c r="G104" s="268"/>
      <c r="H104" s="268"/>
      <c r="I104" s="343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</row>
    <row r="105" spans="1:198" ht="27" hidden="1" customHeight="1" x14ac:dyDescent="0.25">
      <c r="B105" s="156" t="s">
        <v>580</v>
      </c>
      <c r="C105" s="154" t="s">
        <v>261</v>
      </c>
      <c r="D105" s="281"/>
      <c r="E105" s="281"/>
      <c r="F105" s="268"/>
      <c r="G105" s="268"/>
      <c r="H105" s="268"/>
      <c r="I105" s="343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</row>
    <row r="106" spans="1:198" s="482" customFormat="1" ht="15" customHeight="1" x14ac:dyDescent="0.25">
      <c r="A106" s="475"/>
      <c r="B106" s="476" t="s">
        <v>262</v>
      </c>
      <c r="C106" s="477" t="s">
        <v>263</v>
      </c>
      <c r="D106" s="478"/>
      <c r="E106" s="478"/>
      <c r="F106" s="479"/>
      <c r="G106" s="479"/>
      <c r="H106" s="479"/>
      <c r="I106" s="480"/>
      <c r="J106" s="481"/>
      <c r="K106" s="481"/>
      <c r="L106" s="481"/>
      <c r="M106" s="481"/>
      <c r="N106" s="481"/>
      <c r="O106" s="481"/>
      <c r="P106" s="481"/>
      <c r="Q106" s="481"/>
      <c r="R106" s="481"/>
      <c r="S106" s="481"/>
      <c r="T106" s="481"/>
      <c r="U106" s="481"/>
      <c r="V106" s="481"/>
      <c r="W106" s="481"/>
      <c r="X106" s="481"/>
      <c r="Y106" s="481"/>
      <c r="Z106" s="481"/>
      <c r="AA106" s="481"/>
      <c r="AB106" s="481"/>
      <c r="AC106" s="481"/>
      <c r="AD106" s="481"/>
      <c r="AE106" s="481"/>
      <c r="AF106" s="481"/>
      <c r="AG106" s="481"/>
      <c r="AH106" s="481"/>
      <c r="AI106" s="481"/>
      <c r="AJ106" s="481"/>
      <c r="AK106" s="481"/>
      <c r="AL106" s="481"/>
      <c r="AM106" s="481"/>
      <c r="AN106" s="481"/>
      <c r="AO106" s="481"/>
      <c r="AP106" s="475"/>
      <c r="AQ106" s="475"/>
      <c r="AR106" s="475"/>
      <c r="AS106" s="475"/>
      <c r="AT106" s="475"/>
      <c r="AU106" s="475"/>
      <c r="AV106" s="475"/>
      <c r="AW106" s="475"/>
      <c r="AX106" s="475"/>
      <c r="AY106" s="475"/>
      <c r="AZ106" s="475"/>
      <c r="BA106" s="475"/>
      <c r="BB106" s="475"/>
      <c r="BC106" s="475"/>
      <c r="BD106" s="475"/>
      <c r="BE106" s="475"/>
      <c r="BF106" s="475"/>
      <c r="BG106" s="475"/>
      <c r="BH106" s="475"/>
      <c r="BI106" s="475"/>
      <c r="BJ106" s="475"/>
      <c r="BK106" s="475"/>
      <c r="BL106" s="475"/>
      <c r="BM106" s="475"/>
      <c r="BN106" s="475"/>
      <c r="BO106" s="475"/>
      <c r="BP106" s="475"/>
      <c r="BQ106" s="475"/>
      <c r="BR106" s="475"/>
      <c r="BS106" s="475"/>
      <c r="BT106" s="475"/>
      <c r="BU106" s="475"/>
      <c r="BV106" s="475"/>
      <c r="BW106" s="475"/>
      <c r="BX106" s="475"/>
      <c r="BY106" s="475"/>
      <c r="BZ106" s="475"/>
      <c r="CA106" s="475"/>
      <c r="CB106" s="475"/>
      <c r="CC106" s="475"/>
      <c r="CD106" s="475"/>
      <c r="CE106" s="475"/>
      <c r="CF106" s="475"/>
      <c r="CG106" s="475"/>
      <c r="CH106" s="475"/>
      <c r="CI106" s="475"/>
      <c r="CJ106" s="475"/>
      <c r="CK106" s="475"/>
      <c r="CL106" s="475"/>
      <c r="CM106" s="475"/>
      <c r="CN106" s="475"/>
      <c r="CO106" s="475"/>
      <c r="CP106" s="475"/>
      <c r="CQ106" s="475"/>
      <c r="CR106" s="475"/>
      <c r="CS106" s="475"/>
      <c r="CT106" s="475"/>
      <c r="CU106" s="475"/>
      <c r="CV106" s="475"/>
      <c r="CW106" s="475"/>
      <c r="CX106" s="475"/>
      <c r="CY106" s="475"/>
      <c r="CZ106" s="475"/>
      <c r="DA106" s="475"/>
      <c r="DB106" s="475"/>
      <c r="DC106" s="475"/>
      <c r="DD106" s="475"/>
      <c r="DE106" s="475"/>
      <c r="DF106" s="475"/>
      <c r="DG106" s="475"/>
      <c r="DH106" s="475"/>
      <c r="DI106" s="475"/>
      <c r="DJ106" s="475"/>
      <c r="DK106" s="475"/>
      <c r="DL106" s="475"/>
      <c r="DM106" s="475"/>
      <c r="DN106" s="475"/>
      <c r="DO106" s="475"/>
      <c r="DP106" s="475"/>
      <c r="DQ106" s="475"/>
      <c r="DR106" s="475"/>
      <c r="DS106" s="475"/>
      <c r="DT106" s="475"/>
      <c r="DU106" s="475"/>
      <c r="DV106" s="475"/>
      <c r="DW106" s="475"/>
      <c r="DX106" s="475"/>
      <c r="DY106" s="475"/>
      <c r="DZ106" s="475"/>
      <c r="EA106" s="475"/>
      <c r="EB106" s="475"/>
      <c r="EC106" s="475"/>
      <c r="ED106" s="475"/>
      <c r="EE106" s="475"/>
      <c r="EF106" s="475"/>
      <c r="EG106" s="475"/>
      <c r="EH106" s="475"/>
      <c r="EI106" s="475"/>
      <c r="EJ106" s="475"/>
      <c r="EK106" s="475"/>
      <c r="EL106" s="475"/>
      <c r="EM106" s="475"/>
      <c r="EN106" s="475"/>
      <c r="EO106" s="475"/>
      <c r="EP106" s="475"/>
      <c r="EQ106" s="475"/>
      <c r="ER106" s="475"/>
      <c r="ES106" s="475"/>
      <c r="ET106" s="475"/>
      <c r="EU106" s="475"/>
      <c r="EV106" s="475"/>
      <c r="EW106" s="475"/>
      <c r="EX106" s="475"/>
      <c r="EY106" s="475"/>
      <c r="EZ106" s="475"/>
      <c r="FA106" s="475"/>
      <c r="FB106" s="475"/>
      <c r="FC106" s="475"/>
      <c r="FD106" s="475"/>
      <c r="FE106" s="475"/>
      <c r="FF106" s="475"/>
      <c r="FG106" s="475"/>
      <c r="FH106" s="475"/>
      <c r="FI106" s="475"/>
      <c r="FJ106" s="475"/>
      <c r="FK106" s="475"/>
      <c r="FL106" s="475"/>
      <c r="FM106" s="475"/>
      <c r="FN106" s="475"/>
      <c r="FO106" s="475"/>
      <c r="FP106" s="475"/>
      <c r="FQ106" s="475"/>
      <c r="FR106" s="475"/>
      <c r="FS106" s="475"/>
      <c r="FT106" s="475"/>
      <c r="FU106" s="475"/>
      <c r="FV106" s="475"/>
      <c r="FW106" s="475"/>
      <c r="FX106" s="475"/>
      <c r="FY106" s="475"/>
      <c r="FZ106" s="475"/>
      <c r="GA106" s="475"/>
      <c r="GB106" s="475"/>
      <c r="GC106" s="475"/>
      <c r="GD106" s="475"/>
      <c r="GE106" s="475"/>
      <c r="GF106" s="475"/>
      <c r="GG106" s="475"/>
      <c r="GH106" s="475"/>
      <c r="GI106" s="475"/>
      <c r="GJ106" s="475"/>
      <c r="GK106" s="475"/>
      <c r="GL106" s="475"/>
      <c r="GM106" s="475"/>
      <c r="GN106" s="475"/>
      <c r="GO106" s="475"/>
      <c r="GP106" s="475"/>
    </row>
    <row r="107" spans="1:198" s="140" customFormat="1" ht="12.75" x14ac:dyDescent="0.2">
      <c r="B107" s="144" t="s">
        <v>264</v>
      </c>
      <c r="C107" s="155" t="s">
        <v>265</v>
      </c>
      <c r="D107" s="282"/>
      <c r="E107" s="282"/>
      <c r="F107" s="268">
        <f>SUM(J107:AJ107)</f>
        <v>0</v>
      </c>
      <c r="G107" s="268"/>
      <c r="H107" s="268"/>
      <c r="I107" s="343">
        <f>SUM(M107:AM107)</f>
        <v>0</v>
      </c>
      <c r="J107" s="318">
        <f>SUM(J102:J106)</f>
        <v>0</v>
      </c>
      <c r="K107" s="318">
        <f>SUM(K102:K106)</f>
        <v>0</v>
      </c>
      <c r="L107" s="318">
        <f>SUM(L102:L106)</f>
        <v>0</v>
      </c>
      <c r="M107" s="318"/>
      <c r="N107" s="318">
        <f>SUM(N102:N106)</f>
        <v>0</v>
      </c>
      <c r="O107" s="318"/>
      <c r="P107" s="318">
        <f>SUM(P102:P106)</f>
        <v>0</v>
      </c>
      <c r="Q107" s="318"/>
      <c r="R107" s="318">
        <f>SUM(R102:R106)</f>
        <v>0</v>
      </c>
      <c r="S107" s="318"/>
      <c r="T107" s="318">
        <f>SUM(T102:T106)</f>
        <v>0</v>
      </c>
      <c r="U107" s="318">
        <f>SUM(U102:U106)</f>
        <v>0</v>
      </c>
      <c r="V107" s="318">
        <f>SUM(V102:V106)</f>
        <v>0</v>
      </c>
      <c r="W107" s="318"/>
      <c r="X107" s="318">
        <f>SUM(X102:X106)</f>
        <v>0</v>
      </c>
      <c r="Y107" s="318">
        <f>SUM(Y102:Y106)</f>
        <v>0</v>
      </c>
      <c r="Z107" s="318">
        <f>SUM(Z102:Z106)</f>
        <v>0</v>
      </c>
      <c r="AA107" s="318"/>
      <c r="AB107" s="318">
        <f t="shared" ref="AB107:AJ107" si="38">SUM(AB102:AB106)</f>
        <v>0</v>
      </c>
      <c r="AC107" s="318">
        <f t="shared" si="38"/>
        <v>0</v>
      </c>
      <c r="AD107" s="318">
        <f t="shared" si="38"/>
        <v>0</v>
      </c>
      <c r="AE107" s="318">
        <f t="shared" si="38"/>
        <v>0</v>
      </c>
      <c r="AF107" s="318">
        <f t="shared" si="38"/>
        <v>0</v>
      </c>
      <c r="AG107" s="318">
        <f t="shared" si="38"/>
        <v>0</v>
      </c>
      <c r="AH107" s="318">
        <f t="shared" si="38"/>
        <v>0</v>
      </c>
      <c r="AI107" s="318">
        <f t="shared" si="38"/>
        <v>0</v>
      </c>
      <c r="AJ107" s="318">
        <f t="shared" si="38"/>
        <v>0</v>
      </c>
      <c r="AK107" s="318"/>
      <c r="AL107" s="318">
        <f>SUM(AL102:AL106)</f>
        <v>0</v>
      </c>
      <c r="AM107" s="318"/>
      <c r="AN107" s="318">
        <f>SUM(AN102:AN106)</f>
        <v>0</v>
      </c>
      <c r="AO107" s="318"/>
    </row>
    <row r="108" spans="1:198" x14ac:dyDescent="0.25">
      <c r="B108" s="171" t="s">
        <v>266</v>
      </c>
      <c r="C108" s="157" t="s">
        <v>267</v>
      </c>
      <c r="D108" s="159">
        <f t="shared" ref="D108:AO108" si="39">+D107+D101+D100+D94+D82+D75+D74</f>
        <v>342556378</v>
      </c>
      <c r="E108" s="159">
        <f t="shared" si="39"/>
        <v>807813410</v>
      </c>
      <c r="F108" s="159">
        <f t="shared" si="39"/>
        <v>1150369788</v>
      </c>
      <c r="G108" s="159">
        <f t="shared" si="39"/>
        <v>342556378</v>
      </c>
      <c r="H108" s="159">
        <f t="shared" si="39"/>
        <v>807813410</v>
      </c>
      <c r="I108" s="336">
        <f>+I107+I101+I100+I94+I82+I75+I74</f>
        <v>1150369788</v>
      </c>
      <c r="J108" s="321">
        <f t="shared" si="39"/>
        <v>0</v>
      </c>
      <c r="K108" s="321">
        <f t="shared" si="39"/>
        <v>0</v>
      </c>
      <c r="L108" s="321">
        <f t="shared" si="39"/>
        <v>0</v>
      </c>
      <c r="M108" s="321">
        <f t="shared" si="39"/>
        <v>0</v>
      </c>
      <c r="N108" s="321">
        <f t="shared" si="39"/>
        <v>175581000</v>
      </c>
      <c r="O108" s="321">
        <f t="shared" si="39"/>
        <v>175581000</v>
      </c>
      <c r="P108" s="321">
        <f t="shared" si="39"/>
        <v>8160942</v>
      </c>
      <c r="Q108" s="321">
        <f t="shared" si="39"/>
        <v>8160942</v>
      </c>
      <c r="R108" s="321">
        <f t="shared" si="39"/>
        <v>296799225</v>
      </c>
      <c r="S108" s="321">
        <f t="shared" si="39"/>
        <v>296799225</v>
      </c>
      <c r="T108" s="321">
        <f t="shared" si="39"/>
        <v>0</v>
      </c>
      <c r="U108" s="321">
        <f t="shared" si="39"/>
        <v>0</v>
      </c>
      <c r="V108" s="321">
        <f t="shared" si="39"/>
        <v>13681493</v>
      </c>
      <c r="W108" s="321">
        <f t="shared" si="39"/>
        <v>13681493</v>
      </c>
      <c r="X108" s="321">
        <f t="shared" si="39"/>
        <v>0</v>
      </c>
      <c r="Y108" s="321">
        <f t="shared" si="39"/>
        <v>0</v>
      </c>
      <c r="Z108" s="321">
        <f t="shared" si="39"/>
        <v>0</v>
      </c>
      <c r="AA108" s="321">
        <f t="shared" si="39"/>
        <v>0</v>
      </c>
      <c r="AB108" s="321">
        <f t="shared" si="39"/>
        <v>9749917</v>
      </c>
      <c r="AC108" s="321">
        <f t="shared" si="39"/>
        <v>9749917</v>
      </c>
      <c r="AD108" s="321">
        <f t="shared" si="39"/>
        <v>0</v>
      </c>
      <c r="AE108" s="321">
        <f t="shared" si="39"/>
        <v>0</v>
      </c>
      <c r="AF108" s="321">
        <f t="shared" si="39"/>
        <v>17489930</v>
      </c>
      <c r="AG108" s="321">
        <f t="shared" si="39"/>
        <v>17489930</v>
      </c>
      <c r="AH108" s="321">
        <f t="shared" si="39"/>
        <v>86937729</v>
      </c>
      <c r="AI108" s="321">
        <f t="shared" si="39"/>
        <v>86937729</v>
      </c>
      <c r="AJ108" s="321">
        <f t="shared" si="39"/>
        <v>0</v>
      </c>
      <c r="AK108" s="321">
        <f t="shared" si="39"/>
        <v>0</v>
      </c>
      <c r="AL108" s="321">
        <f t="shared" si="39"/>
        <v>228378802</v>
      </c>
      <c r="AM108" s="321">
        <f t="shared" si="39"/>
        <v>228378802</v>
      </c>
      <c r="AN108" s="321">
        <f t="shared" si="39"/>
        <v>313590750</v>
      </c>
      <c r="AO108" s="321">
        <f t="shared" si="39"/>
        <v>313590750</v>
      </c>
    </row>
    <row r="109" spans="1:198" hidden="1" x14ac:dyDescent="0.25">
      <c r="B109" s="172" t="s">
        <v>268</v>
      </c>
      <c r="C109" s="173"/>
      <c r="D109" s="283"/>
      <c r="E109" s="283"/>
      <c r="F109" s="174"/>
      <c r="G109" s="174"/>
      <c r="H109" s="174"/>
      <c r="I109" s="344"/>
      <c r="J109" s="328">
        <f>+J101+J94+J82+J74-J33</f>
        <v>-205135</v>
      </c>
      <c r="K109" s="328">
        <f>+K101+K94+K82+K74-K33</f>
        <v>-205135</v>
      </c>
      <c r="L109" s="328">
        <f>+L101+L94+L82+L74-L33</f>
        <v>-23006351</v>
      </c>
      <c r="M109" s="328"/>
      <c r="N109" s="328">
        <f>+N101+N94+N82+N74-N33</f>
        <v>-31775000</v>
      </c>
      <c r="O109" s="328"/>
      <c r="P109" s="328">
        <f>+P101+P94+P82+P74-P33</f>
        <v>-41604006</v>
      </c>
      <c r="Q109" s="328"/>
      <c r="R109" s="328">
        <f>+R101+R94+R82+R74-R33</f>
        <v>-2747202</v>
      </c>
      <c r="S109" s="328"/>
      <c r="T109" s="328">
        <f>+T101+T94+T82+T74-T33</f>
        <v>-27096899</v>
      </c>
      <c r="U109" s="328">
        <f>+U101+U94+U82+U74-U33</f>
        <v>-27096899</v>
      </c>
      <c r="V109" s="328">
        <f>+V101+V94+V82+V74-V33</f>
        <v>-295125</v>
      </c>
      <c r="W109" s="328"/>
      <c r="X109" s="328">
        <f>+X101+X94+X82+X74-X33</f>
        <v>-11001249</v>
      </c>
      <c r="Y109" s="328">
        <f>+Y101+Y94+Y82+Y74-Y33</f>
        <v>-11001249</v>
      </c>
      <c r="Z109" s="328">
        <f>+Z101+Z94+Z82+Z74-Z33</f>
        <v>0</v>
      </c>
      <c r="AA109" s="328"/>
      <c r="AB109" s="328">
        <f t="shared" ref="AB109:AJ109" si="40">+AB101+AB94+AB82+AB74-AB33</f>
        <v>-5464295</v>
      </c>
      <c r="AC109" s="328">
        <f t="shared" si="40"/>
        <v>-5464295</v>
      </c>
      <c r="AD109" s="328">
        <f t="shared" si="40"/>
        <v>-40246300</v>
      </c>
      <c r="AE109" s="328">
        <f t="shared" si="40"/>
        <v>-40246300</v>
      </c>
      <c r="AF109" s="328">
        <f t="shared" si="40"/>
        <v>-7274910</v>
      </c>
      <c r="AG109" s="328">
        <f t="shared" si="40"/>
        <v>-7274910</v>
      </c>
      <c r="AH109" s="328">
        <f t="shared" si="40"/>
        <v>-3042500</v>
      </c>
      <c r="AI109" s="328">
        <f t="shared" si="40"/>
        <v>-3042500</v>
      </c>
      <c r="AJ109" s="328">
        <f t="shared" si="40"/>
        <v>-5810346</v>
      </c>
      <c r="AK109" s="328"/>
      <c r="AL109" s="328">
        <f>+AL101+AL94+AL82+AL74-AL33</f>
        <v>0</v>
      </c>
      <c r="AM109" s="328"/>
      <c r="AN109" s="328">
        <f>+AN101+AN94+AN82+AN74-AN33</f>
        <v>-69481929</v>
      </c>
      <c r="AO109" s="328"/>
    </row>
    <row r="110" spans="1:198" hidden="1" x14ac:dyDescent="0.25">
      <c r="B110" s="172" t="s">
        <v>269</v>
      </c>
      <c r="C110" s="173"/>
      <c r="D110" s="283"/>
      <c r="E110" s="283"/>
      <c r="F110" s="174"/>
      <c r="G110" s="174"/>
      <c r="H110" s="174"/>
      <c r="I110" s="344"/>
      <c r="J110" s="328">
        <f>+J107+J100+J75-J57</f>
        <v>-1818120</v>
      </c>
      <c r="K110" s="328">
        <f>+K107+K100+K75-K57</f>
        <v>-1818120</v>
      </c>
      <c r="L110" s="328">
        <f>+L107+L100+L75-L57</f>
        <v>-40705284</v>
      </c>
      <c r="M110" s="328"/>
      <c r="N110" s="328">
        <f>+N107+N100+N75-N57</f>
        <v>22534000</v>
      </c>
      <c r="O110" s="328"/>
      <c r="P110" s="328">
        <f>+P107+P100+P75-P57</f>
        <v>-2886030</v>
      </c>
      <c r="Q110" s="328"/>
      <c r="R110" s="328">
        <f>+R107+R100+R75-R57</f>
        <v>-1699120</v>
      </c>
      <c r="S110" s="328"/>
      <c r="T110" s="328">
        <f>+T107+T100+T75-T57</f>
        <v>0</v>
      </c>
      <c r="U110" s="328">
        <f>+U107+U100+U75-U57</f>
        <v>0</v>
      </c>
      <c r="V110" s="328">
        <f>+V107+V100+V75-V57</f>
        <v>-1806057</v>
      </c>
      <c r="W110" s="328"/>
      <c r="X110" s="328">
        <f>+X107+X100+X75-X57</f>
        <v>-538640000</v>
      </c>
      <c r="Y110" s="328">
        <f>+Y107+Y100+Y75-Y57</f>
        <v>-538640000</v>
      </c>
      <c r="Z110" s="328">
        <f>+Z107+Z100+Z75-Z57</f>
        <v>-14541728</v>
      </c>
      <c r="AA110" s="328"/>
      <c r="AB110" s="328">
        <f t="shared" ref="AB110:AJ110" si="41">+AB107+AB100+AB75-AB57</f>
        <v>-5401936</v>
      </c>
      <c r="AC110" s="328">
        <f t="shared" si="41"/>
        <v>-3823629</v>
      </c>
      <c r="AD110" s="328">
        <f t="shared" si="41"/>
        <v>-449199000</v>
      </c>
      <c r="AE110" s="328">
        <f t="shared" si="41"/>
        <v>-449199000</v>
      </c>
      <c r="AF110" s="328">
        <f t="shared" si="41"/>
        <v>-17266313</v>
      </c>
      <c r="AG110" s="328">
        <f t="shared" si="41"/>
        <v>-17266313</v>
      </c>
      <c r="AH110" s="328">
        <f t="shared" si="41"/>
        <v>3042500</v>
      </c>
      <c r="AI110" s="328">
        <f t="shared" si="41"/>
        <v>3042500</v>
      </c>
      <c r="AJ110" s="328">
        <f t="shared" si="41"/>
        <v>-80060354</v>
      </c>
      <c r="AK110" s="328"/>
      <c r="AL110" s="328">
        <f>+AL107+AL100+AL75-AL57</f>
        <v>0</v>
      </c>
      <c r="AM110" s="328"/>
      <c r="AN110" s="328">
        <f>+AN107+AN100+AN75-AN57</f>
        <v>52977309</v>
      </c>
      <c r="AO110" s="328"/>
    </row>
    <row r="111" spans="1:198" hidden="1" x14ac:dyDescent="0.25">
      <c r="B111" s="175" t="s">
        <v>581</v>
      </c>
      <c r="C111" s="176" t="s">
        <v>277</v>
      </c>
      <c r="D111" s="284"/>
      <c r="E111" s="284"/>
      <c r="F111" s="137"/>
      <c r="G111" s="137"/>
      <c r="H111" s="137"/>
      <c r="I111" s="345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</row>
    <row r="112" spans="1:198" hidden="1" x14ac:dyDescent="0.25">
      <c r="B112" s="177" t="s">
        <v>582</v>
      </c>
      <c r="C112" s="176" t="s">
        <v>287</v>
      </c>
      <c r="D112" s="284"/>
      <c r="E112" s="284"/>
      <c r="F112" s="137"/>
      <c r="G112" s="137"/>
      <c r="H112" s="137"/>
      <c r="I112" s="345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</row>
    <row r="113" spans="2:41" x14ac:dyDescent="0.25">
      <c r="B113" s="139" t="s">
        <v>288</v>
      </c>
      <c r="C113" s="139" t="s">
        <v>289</v>
      </c>
      <c r="D113" s="276">
        <f>+Z113+AB113+AD113+AH113+AJ113+X113+AF113+AL113</f>
        <v>0</v>
      </c>
      <c r="E113" s="276">
        <f>+J113+L113+N113+P113+R113+T113+V113+AN113</f>
        <v>76033257</v>
      </c>
      <c r="F113" s="136">
        <f>+E113+D113</f>
        <v>76033257</v>
      </c>
      <c r="G113" s="276">
        <f>+AA113+AC113+AE113+AI113+AK113+Y113+AG113+AM113</f>
        <v>0</v>
      </c>
      <c r="H113" s="276">
        <f>+K113+M113+O113+Q113+S113+U113+W113+AO113</f>
        <v>76033257</v>
      </c>
      <c r="I113" s="314">
        <f>+H113+G113</f>
        <v>76033257</v>
      </c>
      <c r="J113" s="264"/>
      <c r="K113" s="264"/>
      <c r="L113" s="264"/>
      <c r="M113" s="264"/>
      <c r="N113" s="264"/>
      <c r="O113" s="264"/>
      <c r="P113" s="264">
        <v>44490036</v>
      </c>
      <c r="Q113" s="264">
        <v>44490036</v>
      </c>
      <c r="R113" s="264">
        <v>4446322</v>
      </c>
      <c r="S113" s="264">
        <v>4446322</v>
      </c>
      <c r="T113" s="264">
        <v>27096899</v>
      </c>
      <c r="U113" s="264">
        <v>27096899</v>
      </c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>
        <v>0</v>
      </c>
      <c r="AI113" s="264">
        <v>0</v>
      </c>
      <c r="AJ113" s="264">
        <v>0</v>
      </c>
      <c r="AK113" s="264"/>
      <c r="AL113" s="264">
        <v>0</v>
      </c>
      <c r="AM113" s="264"/>
      <c r="AN113" s="264">
        <v>0</v>
      </c>
      <c r="AO113" s="264"/>
    </row>
    <row r="114" spans="2:41" ht="21.75" customHeight="1" x14ac:dyDescent="0.25">
      <c r="B114" s="139" t="s">
        <v>583</v>
      </c>
      <c r="C114" s="139" t="s">
        <v>289</v>
      </c>
      <c r="D114" s="276">
        <f>+Z114+AB114+AD114+AH114+AJ114+X114+AF114+AL114</f>
        <v>1174906431</v>
      </c>
      <c r="E114" s="276">
        <f>+J114+L114+N114+P114+R114+T114+V114+AN114</f>
        <v>67836072</v>
      </c>
      <c r="F114" s="136">
        <f>+E114+D114</f>
        <v>1242742503</v>
      </c>
      <c r="G114" s="276">
        <f>+AA114+AC114+AE114+AI114+AK114+Y114+AG114+AM114</f>
        <v>1174906431</v>
      </c>
      <c r="H114" s="276">
        <f>+K114+M114+O114+Q114+S114+U114+W114+AO114</f>
        <v>67836072</v>
      </c>
      <c r="I114" s="314">
        <f>+H114+G114</f>
        <v>1242742503</v>
      </c>
      <c r="J114" s="264">
        <v>2023255</v>
      </c>
      <c r="K114" s="264">
        <v>2023255</v>
      </c>
      <c r="L114" s="264">
        <f>36289366+27422269</f>
        <v>63711635</v>
      </c>
      <c r="M114" s="264">
        <f>36289366+27422269</f>
        <v>63711635</v>
      </c>
      <c r="N114" s="264"/>
      <c r="O114" s="264"/>
      <c r="P114" s="264"/>
      <c r="Q114" s="264"/>
      <c r="R114" s="264"/>
      <c r="S114" s="264"/>
      <c r="T114" s="264"/>
      <c r="U114" s="264"/>
      <c r="V114" s="264">
        <v>2101182</v>
      </c>
      <c r="W114" s="264">
        <v>2101182</v>
      </c>
      <c r="X114" s="264">
        <v>549641249</v>
      </c>
      <c r="Y114" s="264">
        <v>549641249</v>
      </c>
      <c r="Z114" s="264">
        <v>14541728</v>
      </c>
      <c r="AA114" s="264">
        <v>14541728</v>
      </c>
      <c r="AB114" s="264">
        <v>10866231</v>
      </c>
      <c r="AC114" s="264">
        <v>10866231</v>
      </c>
      <c r="AD114" s="264">
        <v>489445300</v>
      </c>
      <c r="AE114" s="264">
        <v>489445300</v>
      </c>
      <c r="AF114" s="264">
        <v>24541223</v>
      </c>
      <c r="AG114" s="264">
        <v>24541223</v>
      </c>
      <c r="AH114" s="264">
        <v>0</v>
      </c>
      <c r="AI114" s="264"/>
      <c r="AJ114" s="264">
        <f>86900000-1029300</f>
        <v>85870700</v>
      </c>
      <c r="AK114" s="264">
        <f>86900000-1029300</f>
        <v>85870700</v>
      </c>
      <c r="AL114" s="264">
        <v>0</v>
      </c>
      <c r="AM114" s="264"/>
      <c r="AN114" s="264">
        <v>0</v>
      </c>
      <c r="AO114" s="264"/>
    </row>
    <row r="115" spans="2:41" hidden="1" x14ac:dyDescent="0.25">
      <c r="B115" s="139" t="s">
        <v>291</v>
      </c>
      <c r="C115" s="139" t="s">
        <v>292</v>
      </c>
      <c r="D115" s="279"/>
      <c r="E115" s="279"/>
      <c r="F115" s="135">
        <f>SUM(J115:AJ115)</f>
        <v>0</v>
      </c>
      <c r="G115" s="276">
        <f>+AA115+AC115+AE115+AI115+AK115+Y115+AG115</f>
        <v>0</v>
      </c>
      <c r="H115" s="276">
        <f>+K115+M115+O115+Q115+S115+U115+W115</f>
        <v>0</v>
      </c>
      <c r="I115" s="317">
        <f>SUM(M115:AM115)</f>
        <v>0</v>
      </c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</row>
    <row r="116" spans="2:41" hidden="1" x14ac:dyDescent="0.25">
      <c r="B116" s="139" t="s">
        <v>584</v>
      </c>
      <c r="C116" s="139" t="s">
        <v>292</v>
      </c>
      <c r="D116" s="279"/>
      <c r="E116" s="279"/>
      <c r="F116" s="135"/>
      <c r="G116" s="276">
        <f>+AA116+AC116+AE116+AI116+AK116+Y116+AG116</f>
        <v>0</v>
      </c>
      <c r="H116" s="276">
        <f>+K116+M116+O116+Q116+S116+U116+W116</f>
        <v>0</v>
      </c>
      <c r="I116" s="317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</row>
    <row r="117" spans="2:41" x14ac:dyDescent="0.25">
      <c r="B117" s="176" t="s">
        <v>294</v>
      </c>
      <c r="C117" s="176" t="s">
        <v>295</v>
      </c>
      <c r="D117" s="137">
        <f t="shared" ref="D117:I117" si="42">SUM(D113:D116)</f>
        <v>1174906431</v>
      </c>
      <c r="E117" s="137">
        <f t="shared" si="42"/>
        <v>143869329</v>
      </c>
      <c r="F117" s="137">
        <f t="shared" si="42"/>
        <v>1318775760</v>
      </c>
      <c r="G117" s="137">
        <f t="shared" si="42"/>
        <v>1174906431</v>
      </c>
      <c r="H117" s="137">
        <f t="shared" si="42"/>
        <v>143869329</v>
      </c>
      <c r="I117" s="345">
        <f t="shared" si="42"/>
        <v>1318775760</v>
      </c>
      <c r="J117" s="329">
        <f t="shared" ref="J117:AO117" si="43">SUM(J113:J116)</f>
        <v>2023255</v>
      </c>
      <c r="K117" s="329">
        <f t="shared" si="43"/>
        <v>2023255</v>
      </c>
      <c r="L117" s="329">
        <f t="shared" si="43"/>
        <v>63711635</v>
      </c>
      <c r="M117" s="329">
        <f t="shared" si="43"/>
        <v>63711635</v>
      </c>
      <c r="N117" s="329">
        <f t="shared" si="43"/>
        <v>0</v>
      </c>
      <c r="O117" s="329">
        <f t="shared" si="43"/>
        <v>0</v>
      </c>
      <c r="P117" s="329">
        <f t="shared" si="43"/>
        <v>44490036</v>
      </c>
      <c r="Q117" s="329">
        <f t="shared" si="43"/>
        <v>44490036</v>
      </c>
      <c r="R117" s="329">
        <f t="shared" si="43"/>
        <v>4446322</v>
      </c>
      <c r="S117" s="329">
        <f t="shared" si="43"/>
        <v>4446322</v>
      </c>
      <c r="T117" s="329">
        <f t="shared" si="43"/>
        <v>27096899</v>
      </c>
      <c r="U117" s="329">
        <f t="shared" si="43"/>
        <v>27096899</v>
      </c>
      <c r="V117" s="329">
        <f t="shared" si="43"/>
        <v>2101182</v>
      </c>
      <c r="W117" s="329">
        <f t="shared" si="43"/>
        <v>2101182</v>
      </c>
      <c r="X117" s="329">
        <f t="shared" si="43"/>
        <v>549641249</v>
      </c>
      <c r="Y117" s="329">
        <f t="shared" si="43"/>
        <v>549641249</v>
      </c>
      <c r="Z117" s="329">
        <f t="shared" si="43"/>
        <v>14541728</v>
      </c>
      <c r="AA117" s="329">
        <f t="shared" si="43"/>
        <v>14541728</v>
      </c>
      <c r="AB117" s="329">
        <f t="shared" si="43"/>
        <v>10866231</v>
      </c>
      <c r="AC117" s="329">
        <f t="shared" si="43"/>
        <v>10866231</v>
      </c>
      <c r="AD117" s="329">
        <f t="shared" si="43"/>
        <v>489445300</v>
      </c>
      <c r="AE117" s="329">
        <f t="shared" si="43"/>
        <v>489445300</v>
      </c>
      <c r="AF117" s="329">
        <f t="shared" si="43"/>
        <v>24541223</v>
      </c>
      <c r="AG117" s="329">
        <f t="shared" si="43"/>
        <v>24541223</v>
      </c>
      <c r="AH117" s="329">
        <f t="shared" si="43"/>
        <v>0</v>
      </c>
      <c r="AI117" s="329">
        <f t="shared" si="43"/>
        <v>0</v>
      </c>
      <c r="AJ117" s="329">
        <f t="shared" si="43"/>
        <v>85870700</v>
      </c>
      <c r="AK117" s="329">
        <f t="shared" si="43"/>
        <v>85870700</v>
      </c>
      <c r="AL117" s="329">
        <f t="shared" si="43"/>
        <v>0</v>
      </c>
      <c r="AM117" s="329">
        <f t="shared" si="43"/>
        <v>0</v>
      </c>
      <c r="AN117" s="329">
        <f t="shared" si="43"/>
        <v>0</v>
      </c>
      <c r="AO117" s="329">
        <f t="shared" si="43"/>
        <v>0</v>
      </c>
    </row>
    <row r="118" spans="2:41" hidden="1" x14ac:dyDescent="0.25">
      <c r="B118" s="160" t="s">
        <v>296</v>
      </c>
      <c r="C118" s="139" t="s">
        <v>297</v>
      </c>
      <c r="D118" s="279"/>
      <c r="E118" s="279"/>
      <c r="F118" s="135"/>
      <c r="G118" s="276">
        <f>+AA118+AC118+AE118+AI118+AK118+Y118+AG118</f>
        <v>0</v>
      </c>
      <c r="H118" s="276">
        <f>+K118+M118+O118+Q118+S118+U118+W118</f>
        <v>0</v>
      </c>
      <c r="I118" s="317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</row>
    <row r="119" spans="2:41" hidden="1" x14ac:dyDescent="0.25">
      <c r="B119" s="160" t="s">
        <v>298</v>
      </c>
      <c r="C119" s="139" t="s">
        <v>299</v>
      </c>
      <c r="D119" s="279"/>
      <c r="E119" s="279"/>
      <c r="F119" s="135"/>
      <c r="G119" s="276">
        <f>+AA119+AC119+AE119+AI119+AK119+Y119+AG119</f>
        <v>0</v>
      </c>
      <c r="H119" s="276">
        <f>+K119+M119+O119+Q119+S119+U119+W119</f>
        <v>0</v>
      </c>
      <c r="I119" s="317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</row>
    <row r="120" spans="2:41" x14ac:dyDescent="0.25">
      <c r="B120" s="160" t="s">
        <v>300</v>
      </c>
      <c r="C120" s="139" t="s">
        <v>301</v>
      </c>
      <c r="D120" s="279"/>
      <c r="E120" s="279"/>
      <c r="F120" s="135"/>
      <c r="G120" s="276">
        <f>+AA120+AC120+AE120+AI120+AK120+Y120+AG120</f>
        <v>0</v>
      </c>
      <c r="H120" s="276">
        <f>+K120+M120+O120+Q120+S120+U120+W120</f>
        <v>0</v>
      </c>
      <c r="I120" s="317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</row>
    <row r="121" spans="2:41" x14ac:dyDescent="0.25">
      <c r="B121" s="178" t="s">
        <v>585</v>
      </c>
      <c r="C121" s="139" t="s">
        <v>301</v>
      </c>
      <c r="D121" s="279"/>
      <c r="E121" s="279"/>
      <c r="F121" s="135"/>
      <c r="G121" s="276">
        <f>+AA121+AC121+AE121+AI121+AK121+Y121+AG121</f>
        <v>0</v>
      </c>
      <c r="H121" s="276">
        <f>+K121+M121+O121+Q121+S121+U121+W121</f>
        <v>0</v>
      </c>
      <c r="I121" s="317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</row>
    <row r="122" spans="2:41" x14ac:dyDescent="0.25">
      <c r="B122" s="179" t="s">
        <v>586</v>
      </c>
      <c r="C122" s="139" t="s">
        <v>301</v>
      </c>
      <c r="D122" s="276">
        <f>+Z122+AB122+AD122+AH122+AJ122+X122+AF122+AL122</f>
        <v>0</v>
      </c>
      <c r="E122" s="276">
        <f>+J122+L122+N122+P122+R122+T122+V122+AN122</f>
        <v>25745620</v>
      </c>
      <c r="F122" s="136">
        <f>+E122+D122</f>
        <v>25745620</v>
      </c>
      <c r="G122" s="276">
        <f>+AA122+AC122+AE122+AI122+AK122+Y122+AG122+AM122</f>
        <v>0</v>
      </c>
      <c r="H122" s="276">
        <f>+K122+M122+O122+Q122+S122+U122+W122+AO122</f>
        <v>25745620</v>
      </c>
      <c r="I122" s="314">
        <f>+H122+G122</f>
        <v>25745620</v>
      </c>
      <c r="J122" s="264"/>
      <c r="K122" s="264"/>
      <c r="L122" s="264">
        <v>0</v>
      </c>
      <c r="M122" s="264"/>
      <c r="N122" s="264">
        <v>9241000</v>
      </c>
      <c r="O122" s="264">
        <v>9241000</v>
      </c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>
        <f>50014*330</f>
        <v>16504620</v>
      </c>
      <c r="AO122" s="264">
        <f>50014*330</f>
        <v>16504620</v>
      </c>
    </row>
    <row r="123" spans="2:41" hidden="1" x14ac:dyDescent="0.25">
      <c r="B123" s="160" t="s">
        <v>302</v>
      </c>
      <c r="C123" s="139" t="s">
        <v>303</v>
      </c>
      <c r="D123" s="279"/>
      <c r="E123" s="279"/>
      <c r="F123" s="135"/>
      <c r="G123" s="135"/>
      <c r="H123" s="135"/>
      <c r="I123" s="317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</row>
    <row r="124" spans="2:41" hidden="1" x14ac:dyDescent="0.25">
      <c r="B124" s="156" t="s">
        <v>304</v>
      </c>
      <c r="C124" s="139" t="s">
        <v>305</v>
      </c>
      <c r="D124" s="279"/>
      <c r="E124" s="279"/>
      <c r="F124" s="135"/>
      <c r="G124" s="135"/>
      <c r="H124" s="135"/>
      <c r="I124" s="317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</row>
    <row r="125" spans="2:41" hidden="1" x14ac:dyDescent="0.25">
      <c r="B125" s="156" t="s">
        <v>306</v>
      </c>
      <c r="C125" s="139" t="s">
        <v>307</v>
      </c>
      <c r="D125" s="279"/>
      <c r="E125" s="279"/>
      <c r="F125" s="135"/>
      <c r="G125" s="135"/>
      <c r="H125" s="135"/>
      <c r="I125" s="317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</row>
    <row r="126" spans="2:41" s="140" customFormat="1" ht="12.75" x14ac:dyDescent="0.2">
      <c r="B126" s="147" t="s">
        <v>308</v>
      </c>
      <c r="C126" s="144" t="s">
        <v>309</v>
      </c>
      <c r="D126" s="143">
        <f t="shared" ref="D126:J126" si="44">SUM(D118:D124)+D117+D112+D111</f>
        <v>1174906431</v>
      </c>
      <c r="E126" s="143">
        <f t="shared" si="44"/>
        <v>169614949</v>
      </c>
      <c r="F126" s="143">
        <f t="shared" si="44"/>
        <v>1344521380</v>
      </c>
      <c r="G126" s="143">
        <f t="shared" si="44"/>
        <v>1174906431</v>
      </c>
      <c r="H126" s="143">
        <f t="shared" si="44"/>
        <v>169614949</v>
      </c>
      <c r="I126" s="315">
        <f t="shared" si="44"/>
        <v>1344521380</v>
      </c>
      <c r="J126" s="318">
        <f t="shared" si="44"/>
        <v>2023255</v>
      </c>
      <c r="K126" s="318">
        <f t="shared" ref="K126:AA126" si="45">SUM(K118:K124)+K117+K112+K111</f>
        <v>2023255</v>
      </c>
      <c r="L126" s="318">
        <f t="shared" si="45"/>
        <v>63711635</v>
      </c>
      <c r="M126" s="318">
        <f t="shared" si="45"/>
        <v>63711635</v>
      </c>
      <c r="N126" s="318">
        <f t="shared" si="45"/>
        <v>9241000</v>
      </c>
      <c r="O126" s="318">
        <f t="shared" si="45"/>
        <v>9241000</v>
      </c>
      <c r="P126" s="318">
        <f t="shared" si="45"/>
        <v>44490036</v>
      </c>
      <c r="Q126" s="318">
        <f t="shared" si="45"/>
        <v>44490036</v>
      </c>
      <c r="R126" s="318">
        <f t="shared" si="45"/>
        <v>4446322</v>
      </c>
      <c r="S126" s="318">
        <f t="shared" si="45"/>
        <v>4446322</v>
      </c>
      <c r="T126" s="318">
        <f t="shared" si="45"/>
        <v>27096899</v>
      </c>
      <c r="U126" s="318">
        <f t="shared" si="45"/>
        <v>27096899</v>
      </c>
      <c r="V126" s="318">
        <f t="shared" si="45"/>
        <v>2101182</v>
      </c>
      <c r="W126" s="318">
        <f t="shared" si="45"/>
        <v>2101182</v>
      </c>
      <c r="X126" s="318">
        <f t="shared" si="45"/>
        <v>549641249</v>
      </c>
      <c r="Y126" s="318">
        <f t="shared" si="45"/>
        <v>549641249</v>
      </c>
      <c r="Z126" s="318">
        <f t="shared" si="45"/>
        <v>14541728</v>
      </c>
      <c r="AA126" s="318">
        <f t="shared" si="45"/>
        <v>14541728</v>
      </c>
      <c r="AB126" s="318">
        <f t="shared" ref="AB126:AO126" si="46">SUM(AB118:AB124)+AB117+AB112+AB111</f>
        <v>10866231</v>
      </c>
      <c r="AC126" s="318">
        <f t="shared" si="46"/>
        <v>10866231</v>
      </c>
      <c r="AD126" s="318">
        <f t="shared" si="46"/>
        <v>489445300</v>
      </c>
      <c r="AE126" s="318">
        <f t="shared" si="46"/>
        <v>489445300</v>
      </c>
      <c r="AF126" s="318">
        <f t="shared" si="46"/>
        <v>24541223</v>
      </c>
      <c r="AG126" s="318">
        <f t="shared" si="46"/>
        <v>24541223</v>
      </c>
      <c r="AH126" s="318">
        <f t="shared" si="46"/>
        <v>0</v>
      </c>
      <c r="AI126" s="318">
        <f t="shared" si="46"/>
        <v>0</v>
      </c>
      <c r="AJ126" s="318">
        <f t="shared" si="46"/>
        <v>85870700</v>
      </c>
      <c r="AK126" s="318">
        <f t="shared" si="46"/>
        <v>85870700</v>
      </c>
      <c r="AL126" s="318">
        <f t="shared" si="46"/>
        <v>0</v>
      </c>
      <c r="AM126" s="318">
        <f t="shared" si="46"/>
        <v>0</v>
      </c>
      <c r="AN126" s="318">
        <f t="shared" si="46"/>
        <v>16504620</v>
      </c>
      <c r="AO126" s="318">
        <f t="shared" si="46"/>
        <v>16504620</v>
      </c>
    </row>
    <row r="127" spans="2:41" hidden="1" x14ac:dyDescent="0.25">
      <c r="B127" s="160" t="s">
        <v>310</v>
      </c>
      <c r="C127" s="139" t="s">
        <v>311</v>
      </c>
      <c r="D127" s="279"/>
      <c r="E127" s="279"/>
      <c r="F127" s="135"/>
      <c r="G127" s="135"/>
      <c r="H127" s="135"/>
      <c r="I127" s="317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</row>
    <row r="128" spans="2:41" hidden="1" x14ac:dyDescent="0.25">
      <c r="B128" s="156" t="s">
        <v>312</v>
      </c>
      <c r="C128" s="139" t="s">
        <v>313</v>
      </c>
      <c r="D128" s="279"/>
      <c r="E128" s="279"/>
      <c r="F128" s="135"/>
      <c r="G128" s="135"/>
      <c r="H128" s="135"/>
      <c r="I128" s="317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</row>
    <row r="129" spans="2:48" hidden="1" x14ac:dyDescent="0.25">
      <c r="B129" s="156" t="s">
        <v>314</v>
      </c>
      <c r="C129" s="139" t="s">
        <v>315</v>
      </c>
      <c r="D129" s="279"/>
      <c r="E129" s="279"/>
      <c r="F129" s="135"/>
      <c r="G129" s="135"/>
      <c r="H129" s="135"/>
      <c r="I129" s="317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</row>
    <row r="130" spans="2:48" x14ac:dyDescent="0.25">
      <c r="B130" s="163" t="s">
        <v>316</v>
      </c>
      <c r="C130" s="164" t="s">
        <v>317</v>
      </c>
      <c r="D130" s="159">
        <f t="shared" ref="D130:J130" si="47">+D128+D127+D126</f>
        <v>1174906431</v>
      </c>
      <c r="E130" s="159">
        <f t="shared" si="47"/>
        <v>169614949</v>
      </c>
      <c r="F130" s="159">
        <f t="shared" si="47"/>
        <v>1344521380</v>
      </c>
      <c r="G130" s="159">
        <f t="shared" si="47"/>
        <v>1174906431</v>
      </c>
      <c r="H130" s="159">
        <f t="shared" si="47"/>
        <v>169614949</v>
      </c>
      <c r="I130" s="336">
        <f t="shared" si="47"/>
        <v>1344521380</v>
      </c>
      <c r="J130" s="321">
        <f t="shared" si="47"/>
        <v>2023255</v>
      </c>
      <c r="K130" s="321">
        <f t="shared" ref="K130:AA130" si="48">+K128+K127+K126</f>
        <v>2023255</v>
      </c>
      <c r="L130" s="321">
        <f t="shared" si="48"/>
        <v>63711635</v>
      </c>
      <c r="M130" s="321">
        <f t="shared" si="48"/>
        <v>63711635</v>
      </c>
      <c r="N130" s="321">
        <f t="shared" si="48"/>
        <v>9241000</v>
      </c>
      <c r="O130" s="321">
        <f t="shared" si="48"/>
        <v>9241000</v>
      </c>
      <c r="P130" s="321">
        <f t="shared" si="48"/>
        <v>44490036</v>
      </c>
      <c r="Q130" s="321">
        <f t="shared" si="48"/>
        <v>44490036</v>
      </c>
      <c r="R130" s="321">
        <f t="shared" si="48"/>
        <v>4446322</v>
      </c>
      <c r="S130" s="321">
        <f t="shared" si="48"/>
        <v>4446322</v>
      </c>
      <c r="T130" s="321">
        <f t="shared" si="48"/>
        <v>27096899</v>
      </c>
      <c r="U130" s="321">
        <f t="shared" si="48"/>
        <v>27096899</v>
      </c>
      <c r="V130" s="321">
        <f t="shared" si="48"/>
        <v>2101182</v>
      </c>
      <c r="W130" s="321">
        <f t="shared" si="48"/>
        <v>2101182</v>
      </c>
      <c r="X130" s="321">
        <f t="shared" si="48"/>
        <v>549641249</v>
      </c>
      <c r="Y130" s="321">
        <f t="shared" si="48"/>
        <v>549641249</v>
      </c>
      <c r="Z130" s="321">
        <f t="shared" si="48"/>
        <v>14541728</v>
      </c>
      <c r="AA130" s="321">
        <f t="shared" si="48"/>
        <v>14541728</v>
      </c>
      <c r="AB130" s="321">
        <f t="shared" ref="AB130:AO130" si="49">+AB128+AB127+AB126</f>
        <v>10866231</v>
      </c>
      <c r="AC130" s="321">
        <f t="shared" si="49"/>
        <v>10866231</v>
      </c>
      <c r="AD130" s="321">
        <f t="shared" si="49"/>
        <v>489445300</v>
      </c>
      <c r="AE130" s="321">
        <f t="shared" si="49"/>
        <v>489445300</v>
      </c>
      <c r="AF130" s="321">
        <f t="shared" si="49"/>
        <v>24541223</v>
      </c>
      <c r="AG130" s="321">
        <f t="shared" si="49"/>
        <v>24541223</v>
      </c>
      <c r="AH130" s="321">
        <f t="shared" si="49"/>
        <v>0</v>
      </c>
      <c r="AI130" s="321">
        <f t="shared" si="49"/>
        <v>0</v>
      </c>
      <c r="AJ130" s="321">
        <f t="shared" si="49"/>
        <v>85870700</v>
      </c>
      <c r="AK130" s="321">
        <f t="shared" si="49"/>
        <v>85870700</v>
      </c>
      <c r="AL130" s="321">
        <f t="shared" si="49"/>
        <v>0</v>
      </c>
      <c r="AM130" s="321">
        <f t="shared" si="49"/>
        <v>0</v>
      </c>
      <c r="AN130" s="321">
        <f t="shared" si="49"/>
        <v>16504620</v>
      </c>
      <c r="AO130" s="321">
        <f t="shared" si="49"/>
        <v>16504620</v>
      </c>
    </row>
    <row r="131" spans="2:48" s="122" customFormat="1" ht="12.75" x14ac:dyDescent="0.2">
      <c r="B131" s="166" t="s">
        <v>318</v>
      </c>
      <c r="C131" s="166" t="s">
        <v>319</v>
      </c>
      <c r="D131" s="167">
        <f t="shared" ref="D131:J131" si="50">+D108+D130</f>
        <v>1517462809</v>
      </c>
      <c r="E131" s="167">
        <f t="shared" si="50"/>
        <v>977428359</v>
      </c>
      <c r="F131" s="167">
        <f t="shared" si="50"/>
        <v>2494891168</v>
      </c>
      <c r="G131" s="167">
        <f t="shared" si="50"/>
        <v>1517462809</v>
      </c>
      <c r="H131" s="167">
        <f t="shared" si="50"/>
        <v>977428359</v>
      </c>
      <c r="I131" s="340">
        <f t="shared" si="50"/>
        <v>2494891168</v>
      </c>
      <c r="J131" s="325">
        <f t="shared" si="50"/>
        <v>2023255</v>
      </c>
      <c r="K131" s="325">
        <f t="shared" ref="K131:AA131" si="51">+K108+K130</f>
        <v>2023255</v>
      </c>
      <c r="L131" s="325">
        <f t="shared" si="51"/>
        <v>63711635</v>
      </c>
      <c r="M131" s="325">
        <f t="shared" si="51"/>
        <v>63711635</v>
      </c>
      <c r="N131" s="325">
        <f t="shared" si="51"/>
        <v>184822000</v>
      </c>
      <c r="O131" s="325">
        <f t="shared" si="51"/>
        <v>184822000</v>
      </c>
      <c r="P131" s="325">
        <f t="shared" si="51"/>
        <v>52650978</v>
      </c>
      <c r="Q131" s="325">
        <f t="shared" si="51"/>
        <v>52650978</v>
      </c>
      <c r="R131" s="325">
        <f t="shared" si="51"/>
        <v>301245547</v>
      </c>
      <c r="S131" s="325">
        <f t="shared" si="51"/>
        <v>301245547</v>
      </c>
      <c r="T131" s="325">
        <f t="shared" si="51"/>
        <v>27096899</v>
      </c>
      <c r="U131" s="325">
        <f t="shared" si="51"/>
        <v>27096899</v>
      </c>
      <c r="V131" s="325">
        <f t="shared" si="51"/>
        <v>15782675</v>
      </c>
      <c r="W131" s="325">
        <f t="shared" si="51"/>
        <v>15782675</v>
      </c>
      <c r="X131" s="325">
        <f t="shared" si="51"/>
        <v>549641249</v>
      </c>
      <c r="Y131" s="325">
        <f t="shared" si="51"/>
        <v>549641249</v>
      </c>
      <c r="Z131" s="325">
        <f t="shared" si="51"/>
        <v>14541728</v>
      </c>
      <c r="AA131" s="325">
        <f t="shared" si="51"/>
        <v>14541728</v>
      </c>
      <c r="AB131" s="325">
        <f t="shared" ref="AB131:AO131" si="52">+AB108+AB130</f>
        <v>20616148</v>
      </c>
      <c r="AC131" s="325">
        <f t="shared" si="52"/>
        <v>20616148</v>
      </c>
      <c r="AD131" s="325">
        <f t="shared" si="52"/>
        <v>489445300</v>
      </c>
      <c r="AE131" s="325">
        <f t="shared" si="52"/>
        <v>489445300</v>
      </c>
      <c r="AF131" s="325">
        <f t="shared" si="52"/>
        <v>42031153</v>
      </c>
      <c r="AG131" s="325">
        <f t="shared" si="52"/>
        <v>42031153</v>
      </c>
      <c r="AH131" s="325">
        <f t="shared" si="52"/>
        <v>86937729</v>
      </c>
      <c r="AI131" s="325">
        <f t="shared" si="52"/>
        <v>86937729</v>
      </c>
      <c r="AJ131" s="325">
        <f t="shared" si="52"/>
        <v>85870700</v>
      </c>
      <c r="AK131" s="325">
        <f t="shared" si="52"/>
        <v>85870700</v>
      </c>
      <c r="AL131" s="325">
        <f t="shared" si="52"/>
        <v>228378802</v>
      </c>
      <c r="AM131" s="325">
        <f t="shared" si="52"/>
        <v>228378802</v>
      </c>
      <c r="AN131" s="325">
        <f t="shared" si="52"/>
        <v>330095370</v>
      </c>
      <c r="AO131" s="325">
        <f t="shared" si="52"/>
        <v>330095370</v>
      </c>
    </row>
    <row r="132" spans="2:48" s="122" customFormat="1" ht="12.75" x14ac:dyDescent="0.2">
      <c r="D132" s="263"/>
      <c r="E132" s="263"/>
      <c r="F132" s="263"/>
    </row>
    <row r="133" spans="2:48" s="122" customFormat="1" ht="12.75" x14ac:dyDescent="0.2">
      <c r="D133" s="263">
        <f t="shared" ref="D133:AO133" si="53">+D131-D64</f>
        <v>0</v>
      </c>
      <c r="E133" s="263">
        <f>+E131-E64</f>
        <v>0</v>
      </c>
      <c r="F133" s="263">
        <f t="shared" si="53"/>
        <v>0</v>
      </c>
      <c r="G133" s="263">
        <f t="shared" si="53"/>
        <v>3527757</v>
      </c>
      <c r="H133" s="263">
        <f t="shared" si="53"/>
        <v>3827967</v>
      </c>
      <c r="I133" s="263">
        <f>+I131-I64</f>
        <v>7355724</v>
      </c>
      <c r="J133" s="263">
        <f t="shared" si="53"/>
        <v>0</v>
      </c>
      <c r="K133" s="263">
        <f t="shared" si="53"/>
        <v>0</v>
      </c>
      <c r="L133" s="263">
        <f t="shared" si="53"/>
        <v>0</v>
      </c>
      <c r="M133" s="263">
        <f t="shared" si="53"/>
        <v>0</v>
      </c>
      <c r="N133" s="263">
        <f t="shared" si="53"/>
        <v>0</v>
      </c>
      <c r="O133" s="263">
        <f t="shared" si="53"/>
        <v>0</v>
      </c>
      <c r="P133" s="263">
        <f t="shared" si="53"/>
        <v>0</v>
      </c>
      <c r="Q133" s="263">
        <f t="shared" si="53"/>
        <v>0</v>
      </c>
      <c r="R133" s="263">
        <f t="shared" si="53"/>
        <v>0</v>
      </c>
      <c r="S133" s="263">
        <f t="shared" si="53"/>
        <v>4007410</v>
      </c>
      <c r="T133" s="263">
        <f t="shared" si="53"/>
        <v>0</v>
      </c>
      <c r="U133" s="263">
        <f t="shared" si="53"/>
        <v>0</v>
      </c>
      <c r="V133" s="263">
        <f t="shared" si="53"/>
        <v>0</v>
      </c>
      <c r="W133" s="263">
        <f t="shared" si="53"/>
        <v>-179443</v>
      </c>
      <c r="X133" s="263">
        <f t="shared" si="53"/>
        <v>0</v>
      </c>
      <c r="Y133" s="263">
        <f t="shared" si="53"/>
        <v>0</v>
      </c>
      <c r="Z133" s="263">
        <f t="shared" si="53"/>
        <v>0</v>
      </c>
      <c r="AA133" s="263">
        <f t="shared" si="53"/>
        <v>1949450</v>
      </c>
      <c r="AB133" s="263">
        <f t="shared" si="53"/>
        <v>0</v>
      </c>
      <c r="AC133" s="263">
        <f t="shared" si="53"/>
        <v>1578307</v>
      </c>
      <c r="AD133" s="263">
        <f t="shared" si="53"/>
        <v>0</v>
      </c>
      <c r="AE133" s="263">
        <f t="shared" si="53"/>
        <v>0</v>
      </c>
      <c r="AF133" s="263">
        <f t="shared" si="53"/>
        <v>0</v>
      </c>
      <c r="AG133" s="263">
        <f t="shared" si="53"/>
        <v>0</v>
      </c>
      <c r="AH133" s="263">
        <f t="shared" si="53"/>
        <v>0</v>
      </c>
      <c r="AI133" s="263">
        <f t="shared" si="53"/>
        <v>0</v>
      </c>
      <c r="AJ133" s="263">
        <f t="shared" si="53"/>
        <v>0</v>
      </c>
      <c r="AK133" s="263">
        <f t="shared" si="53"/>
        <v>0</v>
      </c>
      <c r="AL133" s="263">
        <f t="shared" si="53"/>
        <v>0</v>
      </c>
      <c r="AM133" s="263">
        <f t="shared" si="53"/>
        <v>0</v>
      </c>
      <c r="AN133" s="263">
        <f t="shared" si="53"/>
        <v>0</v>
      </c>
      <c r="AO133" s="263">
        <f t="shared" si="53"/>
        <v>0</v>
      </c>
    </row>
    <row r="134" spans="2:48" s="122" customFormat="1" ht="12.75" x14ac:dyDescent="0.2">
      <c r="D134" s="263"/>
      <c r="E134" s="263"/>
      <c r="F134" s="263"/>
      <c r="J134" s="122" t="s">
        <v>775</v>
      </c>
      <c r="L134" s="122" t="s">
        <v>775</v>
      </c>
      <c r="N134" s="122" t="s">
        <v>775</v>
      </c>
      <c r="O134" s="265"/>
      <c r="P134" s="122" t="s">
        <v>772</v>
      </c>
      <c r="R134" s="122" t="s">
        <v>772</v>
      </c>
      <c r="S134" s="266"/>
      <c r="T134" s="122" t="s">
        <v>773</v>
      </c>
      <c r="V134" s="122" t="s">
        <v>773</v>
      </c>
      <c r="X134" s="122" t="s">
        <v>773</v>
      </c>
      <c r="Z134" s="122" t="s">
        <v>773</v>
      </c>
      <c r="AB134" s="122" t="s">
        <v>774</v>
      </c>
      <c r="AD134" s="122" t="s">
        <v>774</v>
      </c>
      <c r="AF134" s="122" t="s">
        <v>774</v>
      </c>
      <c r="AH134" s="266" t="s">
        <v>774</v>
      </c>
      <c r="AJ134" s="122" t="s">
        <v>774</v>
      </c>
      <c r="AL134" s="122" t="s">
        <v>774</v>
      </c>
      <c r="AN134" s="122" t="s">
        <v>774</v>
      </c>
    </row>
    <row r="135" spans="2:48" s="122" customFormat="1" ht="12.75" x14ac:dyDescent="0.2"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263"/>
      <c r="AG135" s="263"/>
      <c r="AH135" s="263"/>
      <c r="AI135" s="263"/>
      <c r="AJ135" s="263"/>
      <c r="AK135" s="263"/>
      <c r="AL135" s="263"/>
      <c r="AM135" s="263"/>
      <c r="AN135" s="263"/>
      <c r="AO135" s="263"/>
      <c r="AP135" s="263"/>
      <c r="AQ135" s="263"/>
      <c r="AR135" s="263"/>
      <c r="AS135" s="263"/>
      <c r="AT135" s="263"/>
      <c r="AU135" s="263"/>
      <c r="AV135" s="263"/>
    </row>
    <row r="136" spans="2:48" s="122" customFormat="1" ht="12.75" x14ac:dyDescent="0.2"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263"/>
      <c r="AN136" s="263"/>
      <c r="AO136" s="263"/>
      <c r="AP136" s="263"/>
      <c r="AQ136" s="263"/>
      <c r="AR136" s="263"/>
      <c r="AS136" s="263"/>
      <c r="AT136" s="263"/>
      <c r="AU136" s="263"/>
      <c r="AV136" s="263"/>
    </row>
    <row r="137" spans="2:48" s="122" customFormat="1" ht="12.75" x14ac:dyDescent="0.2">
      <c r="C137" s="263"/>
      <c r="E137" s="263"/>
      <c r="F137" s="263"/>
      <c r="G137" s="263">
        <f>+G131-D131</f>
        <v>0</v>
      </c>
      <c r="H137" s="263">
        <f>+H131-E131</f>
        <v>0</v>
      </c>
      <c r="I137" s="263">
        <f>+I131-F131</f>
        <v>0</v>
      </c>
      <c r="K137" s="263">
        <f>+K131-J131</f>
        <v>0</v>
      </c>
      <c r="M137" s="263">
        <f>+M131-L131</f>
        <v>0</v>
      </c>
      <c r="O137" s="263">
        <f>+O131-N131</f>
        <v>0</v>
      </c>
      <c r="Q137" s="263">
        <f>+Q131-P131</f>
        <v>0</v>
      </c>
      <c r="S137" s="263"/>
      <c r="U137" s="263">
        <f>+U131-T131</f>
        <v>0</v>
      </c>
      <c r="W137" s="263">
        <f>+W131-V131</f>
        <v>0</v>
      </c>
      <c r="Y137" s="263">
        <f>+Y131-X131</f>
        <v>0</v>
      </c>
      <c r="AA137" s="263">
        <f>+AA131-Z131</f>
        <v>0</v>
      </c>
      <c r="AC137" s="263">
        <f>+AC131-AB131</f>
        <v>0</v>
      </c>
      <c r="AE137" s="263">
        <f>+AE131-AD131</f>
        <v>0</v>
      </c>
      <c r="AG137" s="263">
        <f>+AG131-AF131</f>
        <v>0</v>
      </c>
      <c r="AI137" s="263">
        <f>+AI131-AH131</f>
        <v>0</v>
      </c>
      <c r="AK137" s="263">
        <f>+AK131-AJ131</f>
        <v>0</v>
      </c>
      <c r="AM137" s="263">
        <f>+AM131-AL131</f>
        <v>0</v>
      </c>
      <c r="AO137" s="263">
        <f>+AO131-AN131</f>
        <v>0</v>
      </c>
    </row>
    <row r="138" spans="2:48" s="122" customFormat="1" ht="12.75" x14ac:dyDescent="0.2">
      <c r="D138" s="263"/>
      <c r="E138" s="263"/>
      <c r="F138" s="263"/>
    </row>
    <row r="139" spans="2:48" s="122" customFormat="1" ht="12.75" x14ac:dyDescent="0.2">
      <c r="D139" s="263"/>
      <c r="E139" s="263"/>
      <c r="F139" s="263"/>
    </row>
    <row r="140" spans="2:48" s="122" customFormat="1" ht="12.75" x14ac:dyDescent="0.2">
      <c r="D140" s="263"/>
      <c r="E140" s="263"/>
      <c r="F140" s="263"/>
    </row>
    <row r="141" spans="2:48" s="122" customFormat="1" ht="12.75" x14ac:dyDescent="0.2">
      <c r="D141" s="263"/>
      <c r="E141" s="263"/>
      <c r="F141" s="263"/>
    </row>
    <row r="142" spans="2:48" s="122" customFormat="1" ht="12.75" x14ac:dyDescent="0.2">
      <c r="D142" s="263"/>
      <c r="E142" s="263"/>
      <c r="F142" s="263"/>
    </row>
    <row r="143" spans="2:48" s="122" customFormat="1" ht="12.75" x14ac:dyDescent="0.2">
      <c r="D143" s="263"/>
      <c r="E143" s="263"/>
      <c r="F143" s="263"/>
    </row>
    <row r="144" spans="2:48" s="122" customFormat="1" ht="12.75" x14ac:dyDescent="0.2">
      <c r="D144" s="263"/>
      <c r="E144" s="263"/>
      <c r="F144" s="263"/>
    </row>
    <row r="145" spans="4:6" s="122" customFormat="1" ht="12.75" x14ac:dyDescent="0.2">
      <c r="D145" s="263"/>
      <c r="E145" s="263"/>
      <c r="F145" s="263"/>
    </row>
    <row r="146" spans="4:6" s="122" customFormat="1" ht="12.75" x14ac:dyDescent="0.2">
      <c r="D146" s="263"/>
      <c r="E146" s="263"/>
      <c r="F146" s="263"/>
    </row>
    <row r="147" spans="4:6" s="122" customFormat="1" ht="12.75" x14ac:dyDescent="0.2">
      <c r="D147" s="263"/>
      <c r="E147" s="263"/>
      <c r="F147" s="263"/>
    </row>
    <row r="148" spans="4:6" s="122" customFormat="1" ht="12.75" x14ac:dyDescent="0.2">
      <c r="D148" s="263"/>
      <c r="E148" s="263"/>
      <c r="F148" s="263"/>
    </row>
    <row r="149" spans="4:6" s="122" customFormat="1" ht="12.75" x14ac:dyDescent="0.2">
      <c r="D149" s="263"/>
      <c r="E149" s="263"/>
      <c r="F149" s="263"/>
    </row>
    <row r="150" spans="4:6" s="122" customFormat="1" ht="12.75" x14ac:dyDescent="0.2">
      <c r="D150" s="263"/>
      <c r="E150" s="263"/>
      <c r="F150" s="263"/>
    </row>
    <row r="151" spans="4:6" s="122" customFormat="1" ht="12.75" x14ac:dyDescent="0.2">
      <c r="D151" s="263"/>
      <c r="E151" s="263"/>
      <c r="F151" s="263"/>
    </row>
    <row r="152" spans="4:6" s="122" customFormat="1" ht="12.75" x14ac:dyDescent="0.2">
      <c r="D152" s="263"/>
      <c r="E152" s="263"/>
      <c r="F152" s="263"/>
    </row>
    <row r="153" spans="4:6" s="122" customFormat="1" ht="12.75" x14ac:dyDescent="0.2">
      <c r="D153" s="263"/>
      <c r="E153" s="263"/>
      <c r="F153" s="263"/>
    </row>
    <row r="154" spans="4:6" s="122" customFormat="1" ht="12.75" x14ac:dyDescent="0.2">
      <c r="D154" s="263"/>
      <c r="E154" s="263"/>
      <c r="F154" s="263"/>
    </row>
    <row r="155" spans="4:6" s="122" customFormat="1" ht="12.75" x14ac:dyDescent="0.2">
      <c r="D155" s="263"/>
      <c r="E155" s="263"/>
      <c r="F155" s="263"/>
    </row>
    <row r="156" spans="4:6" s="122" customFormat="1" ht="12.75" x14ac:dyDescent="0.2">
      <c r="D156" s="263"/>
      <c r="E156" s="263"/>
      <c r="F156" s="263"/>
    </row>
    <row r="157" spans="4:6" s="122" customFormat="1" ht="12.75" x14ac:dyDescent="0.2">
      <c r="D157" s="263"/>
      <c r="E157" s="263"/>
      <c r="F157" s="263"/>
    </row>
    <row r="158" spans="4:6" s="122" customFormat="1" ht="12.75" x14ac:dyDescent="0.2">
      <c r="D158" s="263"/>
      <c r="E158" s="263"/>
      <c r="F158" s="263"/>
    </row>
    <row r="159" spans="4:6" s="122" customFormat="1" ht="12.75" x14ac:dyDescent="0.2">
      <c r="D159" s="263"/>
      <c r="E159" s="263"/>
      <c r="F159" s="263"/>
    </row>
    <row r="160" spans="4:6" s="122" customFormat="1" ht="12.75" x14ac:dyDescent="0.2">
      <c r="D160" s="263"/>
      <c r="E160" s="263"/>
      <c r="F160" s="263"/>
    </row>
    <row r="161" spans="4:6" s="122" customFormat="1" ht="12.75" x14ac:dyDescent="0.2">
      <c r="D161" s="263"/>
      <c r="E161" s="263"/>
      <c r="F161" s="263"/>
    </row>
    <row r="162" spans="4:6" s="122" customFormat="1" ht="12.75" x14ac:dyDescent="0.2">
      <c r="D162" s="263"/>
      <c r="E162" s="263"/>
      <c r="F162" s="263"/>
    </row>
    <row r="163" spans="4:6" s="122" customFormat="1" ht="12.75" x14ac:dyDescent="0.2">
      <c r="D163" s="263"/>
      <c r="E163" s="263"/>
      <c r="F163" s="263"/>
    </row>
    <row r="164" spans="4:6" s="122" customFormat="1" ht="12.75" x14ac:dyDescent="0.2">
      <c r="D164" s="263"/>
      <c r="E164" s="263"/>
      <c r="F164" s="263"/>
    </row>
    <row r="165" spans="4:6" s="122" customFormat="1" ht="12.75" x14ac:dyDescent="0.2">
      <c r="D165" s="263"/>
      <c r="E165" s="263"/>
      <c r="F165" s="263"/>
    </row>
    <row r="166" spans="4:6" s="122" customFormat="1" ht="12.75" x14ac:dyDescent="0.2">
      <c r="D166" s="263"/>
      <c r="E166" s="263"/>
      <c r="F166" s="263"/>
    </row>
    <row r="167" spans="4:6" s="122" customFormat="1" ht="12.75" x14ac:dyDescent="0.2">
      <c r="D167" s="263"/>
      <c r="E167" s="263"/>
      <c r="F167" s="263"/>
    </row>
    <row r="168" spans="4:6" s="122" customFormat="1" ht="12.75" x14ac:dyDescent="0.2">
      <c r="D168" s="263"/>
      <c r="E168" s="263"/>
      <c r="F168" s="263"/>
    </row>
    <row r="169" spans="4:6" s="122" customFormat="1" ht="12.75" x14ac:dyDescent="0.2">
      <c r="D169" s="263"/>
      <c r="E169" s="263"/>
      <c r="F169" s="263"/>
    </row>
    <row r="170" spans="4:6" s="122" customFormat="1" ht="12.75" x14ac:dyDescent="0.2">
      <c r="D170" s="263"/>
      <c r="E170" s="263"/>
      <c r="F170" s="263"/>
    </row>
    <row r="171" spans="4:6" s="122" customFormat="1" ht="12.75" x14ac:dyDescent="0.2">
      <c r="D171" s="263"/>
      <c r="E171" s="263"/>
      <c r="F171" s="263"/>
    </row>
    <row r="172" spans="4:6" s="122" customFormat="1" ht="12.75" x14ac:dyDescent="0.2">
      <c r="D172" s="263"/>
      <c r="E172" s="263"/>
      <c r="F172" s="263"/>
    </row>
    <row r="173" spans="4:6" s="122" customFormat="1" ht="12.75" x14ac:dyDescent="0.2">
      <c r="D173" s="263"/>
      <c r="E173" s="263"/>
      <c r="F173" s="263"/>
    </row>
    <row r="174" spans="4:6" s="122" customFormat="1" ht="12.75" x14ac:dyDescent="0.2">
      <c r="D174" s="263"/>
      <c r="E174" s="263"/>
      <c r="F174" s="263"/>
    </row>
    <row r="175" spans="4:6" s="122" customFormat="1" ht="12.75" x14ac:dyDescent="0.2">
      <c r="D175" s="263"/>
      <c r="E175" s="263"/>
      <c r="F175" s="263"/>
    </row>
    <row r="176" spans="4:6" s="122" customFormat="1" ht="12.75" x14ac:dyDescent="0.2">
      <c r="D176" s="263"/>
      <c r="E176" s="263"/>
      <c r="F176" s="263"/>
    </row>
    <row r="177" spans="4:6" s="122" customFormat="1" ht="12.75" x14ac:dyDescent="0.2">
      <c r="D177" s="263"/>
      <c r="E177" s="263"/>
      <c r="F177" s="263"/>
    </row>
    <row r="178" spans="4:6" s="122" customFormat="1" ht="12.75" x14ac:dyDescent="0.2">
      <c r="D178" s="263"/>
      <c r="E178" s="263"/>
      <c r="F178" s="263"/>
    </row>
    <row r="179" spans="4:6" s="122" customFormat="1" ht="12.75" x14ac:dyDescent="0.2">
      <c r="D179" s="263"/>
      <c r="E179" s="263"/>
      <c r="F179" s="263"/>
    </row>
    <row r="180" spans="4:6" s="122" customFormat="1" ht="12.75" x14ac:dyDescent="0.2">
      <c r="D180" s="263"/>
      <c r="E180" s="263"/>
      <c r="F180" s="263"/>
    </row>
    <row r="181" spans="4:6" s="122" customFormat="1" ht="12.75" x14ac:dyDescent="0.2">
      <c r="D181" s="263"/>
      <c r="E181" s="263"/>
      <c r="F181" s="263"/>
    </row>
    <row r="182" spans="4:6" s="122" customFormat="1" ht="12.75" x14ac:dyDescent="0.2">
      <c r="D182" s="263"/>
      <c r="E182" s="263"/>
      <c r="F182" s="263"/>
    </row>
    <row r="183" spans="4:6" s="122" customFormat="1" ht="12.75" x14ac:dyDescent="0.2">
      <c r="D183" s="263"/>
      <c r="E183" s="263"/>
      <c r="F183" s="263"/>
    </row>
    <row r="184" spans="4:6" s="122" customFormat="1" ht="12.75" x14ac:dyDescent="0.2">
      <c r="D184" s="263"/>
      <c r="E184" s="263"/>
      <c r="F184" s="263"/>
    </row>
    <row r="185" spans="4:6" s="122" customFormat="1" ht="12.75" x14ac:dyDescent="0.2">
      <c r="D185" s="263"/>
      <c r="E185" s="263"/>
      <c r="F185" s="263"/>
    </row>
    <row r="186" spans="4:6" s="122" customFormat="1" ht="12.75" x14ac:dyDescent="0.2">
      <c r="D186" s="263"/>
      <c r="E186" s="263"/>
      <c r="F186" s="263"/>
    </row>
    <row r="187" spans="4:6" s="122" customFormat="1" ht="12.75" x14ac:dyDescent="0.2">
      <c r="D187" s="263"/>
      <c r="E187" s="263"/>
      <c r="F187" s="263"/>
    </row>
    <row r="188" spans="4:6" s="122" customFormat="1" ht="12.75" x14ac:dyDescent="0.2">
      <c r="D188" s="263"/>
      <c r="E188" s="263"/>
      <c r="F188" s="263"/>
    </row>
    <row r="189" spans="4:6" s="122" customFormat="1" ht="12.75" x14ac:dyDescent="0.2">
      <c r="D189" s="263"/>
      <c r="E189" s="263"/>
      <c r="F189" s="263"/>
    </row>
    <row r="190" spans="4:6" s="122" customFormat="1" ht="12.75" x14ac:dyDescent="0.2">
      <c r="D190" s="263"/>
      <c r="E190" s="263"/>
      <c r="F190" s="263"/>
    </row>
    <row r="191" spans="4:6" s="122" customFormat="1" ht="12.75" x14ac:dyDescent="0.2">
      <c r="D191" s="263"/>
      <c r="E191" s="263"/>
      <c r="F191" s="263"/>
    </row>
    <row r="192" spans="4:6" s="122" customFormat="1" ht="12.75" x14ac:dyDescent="0.2">
      <c r="D192" s="263"/>
      <c r="E192" s="263"/>
      <c r="F192" s="263"/>
    </row>
    <row r="193" spans="4:6" s="122" customFormat="1" ht="12.75" x14ac:dyDescent="0.2">
      <c r="D193" s="263"/>
      <c r="E193" s="263"/>
      <c r="F193" s="263"/>
    </row>
    <row r="194" spans="4:6" s="122" customFormat="1" ht="12.75" x14ac:dyDescent="0.2">
      <c r="D194" s="263"/>
      <c r="E194" s="263"/>
      <c r="F194" s="263"/>
    </row>
    <row r="195" spans="4:6" s="122" customFormat="1" ht="12.75" x14ac:dyDescent="0.2">
      <c r="D195" s="263"/>
      <c r="E195" s="263"/>
      <c r="F195" s="263"/>
    </row>
    <row r="196" spans="4:6" s="122" customFormat="1" ht="12.75" x14ac:dyDescent="0.2">
      <c r="D196" s="263"/>
      <c r="E196" s="263"/>
      <c r="F196" s="263"/>
    </row>
    <row r="197" spans="4:6" s="122" customFormat="1" ht="12.75" x14ac:dyDescent="0.2">
      <c r="D197" s="263"/>
      <c r="E197" s="263"/>
      <c r="F197" s="263"/>
    </row>
    <row r="198" spans="4:6" s="122" customFormat="1" ht="12.75" x14ac:dyDescent="0.2">
      <c r="D198" s="263"/>
      <c r="E198" s="263"/>
      <c r="F198" s="263"/>
    </row>
    <row r="199" spans="4:6" s="122" customFormat="1" ht="12.75" x14ac:dyDescent="0.2">
      <c r="D199" s="263"/>
      <c r="E199" s="263"/>
      <c r="F199" s="263"/>
    </row>
    <row r="200" spans="4:6" s="122" customFormat="1" ht="12.75" x14ac:dyDescent="0.2">
      <c r="D200" s="263"/>
      <c r="E200" s="263"/>
      <c r="F200" s="263"/>
    </row>
    <row r="201" spans="4:6" s="122" customFormat="1" ht="12.75" x14ac:dyDescent="0.2">
      <c r="D201" s="263"/>
      <c r="E201" s="263"/>
      <c r="F201" s="263"/>
    </row>
    <row r="202" spans="4:6" s="122" customFormat="1" ht="12.75" x14ac:dyDescent="0.2">
      <c r="D202" s="263"/>
      <c r="E202" s="263"/>
      <c r="F202" s="263"/>
    </row>
    <row r="203" spans="4:6" s="122" customFormat="1" ht="12.75" x14ac:dyDescent="0.2">
      <c r="D203" s="263"/>
      <c r="E203" s="263"/>
      <c r="F203" s="263"/>
    </row>
    <row r="204" spans="4:6" s="122" customFormat="1" ht="12.75" x14ac:dyDescent="0.2">
      <c r="D204" s="263"/>
      <c r="E204" s="263"/>
      <c r="F204" s="263"/>
    </row>
    <row r="205" spans="4:6" s="122" customFormat="1" ht="12.75" x14ac:dyDescent="0.2">
      <c r="D205" s="263"/>
      <c r="E205" s="263"/>
      <c r="F205" s="263"/>
    </row>
    <row r="206" spans="4:6" s="122" customFormat="1" ht="12.75" x14ac:dyDescent="0.2">
      <c r="D206" s="263"/>
      <c r="E206" s="263"/>
      <c r="F206" s="263"/>
    </row>
    <row r="207" spans="4:6" s="122" customFormat="1" ht="12.75" x14ac:dyDescent="0.2">
      <c r="D207" s="263"/>
      <c r="E207" s="263"/>
      <c r="F207" s="263"/>
    </row>
    <row r="208" spans="4:6" s="122" customFormat="1" ht="12.75" x14ac:dyDescent="0.2">
      <c r="D208" s="263"/>
      <c r="E208" s="263"/>
      <c r="F208" s="263"/>
    </row>
    <row r="209" spans="4:6" s="122" customFormat="1" ht="12.75" x14ac:dyDescent="0.2">
      <c r="D209" s="263"/>
      <c r="E209" s="263"/>
      <c r="F209" s="263"/>
    </row>
    <row r="210" spans="4:6" s="122" customFormat="1" ht="12.75" x14ac:dyDescent="0.2">
      <c r="D210" s="263"/>
      <c r="E210" s="263"/>
      <c r="F210" s="263"/>
    </row>
    <row r="211" spans="4:6" s="122" customFormat="1" ht="12.75" x14ac:dyDescent="0.2">
      <c r="D211" s="263"/>
      <c r="E211" s="263"/>
      <c r="F211" s="263"/>
    </row>
    <row r="212" spans="4:6" s="122" customFormat="1" ht="12.75" x14ac:dyDescent="0.2">
      <c r="D212" s="263"/>
      <c r="E212" s="263"/>
      <c r="F212" s="263"/>
    </row>
    <row r="213" spans="4:6" s="122" customFormat="1" ht="12.75" x14ac:dyDescent="0.2">
      <c r="D213" s="263"/>
      <c r="E213" s="263"/>
      <c r="F213" s="263"/>
    </row>
    <row r="214" spans="4:6" s="122" customFormat="1" ht="12.75" x14ac:dyDescent="0.2">
      <c r="D214" s="263"/>
      <c r="E214" s="263"/>
      <c r="F214" s="263"/>
    </row>
    <row r="215" spans="4:6" s="122" customFormat="1" ht="12.75" x14ac:dyDescent="0.2">
      <c r="D215" s="263"/>
      <c r="E215" s="263"/>
      <c r="F215" s="263"/>
    </row>
    <row r="216" spans="4:6" s="122" customFormat="1" ht="12.75" x14ac:dyDescent="0.2">
      <c r="D216" s="263"/>
      <c r="E216" s="263"/>
      <c r="F216" s="263"/>
    </row>
    <row r="217" spans="4:6" s="122" customFormat="1" ht="12.75" x14ac:dyDescent="0.2">
      <c r="D217" s="263"/>
      <c r="E217" s="263"/>
      <c r="F217" s="263"/>
    </row>
    <row r="218" spans="4:6" s="122" customFormat="1" ht="12.75" x14ac:dyDescent="0.2">
      <c r="D218" s="263"/>
      <c r="E218" s="263"/>
      <c r="F218" s="263"/>
    </row>
    <row r="219" spans="4:6" s="122" customFormat="1" ht="12.75" x14ac:dyDescent="0.2">
      <c r="D219" s="263"/>
      <c r="E219" s="263"/>
      <c r="F219" s="263"/>
    </row>
    <row r="220" spans="4:6" s="122" customFormat="1" ht="12.75" x14ac:dyDescent="0.2">
      <c r="D220" s="263"/>
      <c r="E220" s="263"/>
      <c r="F220" s="263"/>
    </row>
    <row r="221" spans="4:6" s="122" customFormat="1" ht="12.75" x14ac:dyDescent="0.2">
      <c r="D221" s="263"/>
      <c r="E221" s="263"/>
      <c r="F221" s="263"/>
    </row>
    <row r="222" spans="4:6" s="122" customFormat="1" ht="12.75" x14ac:dyDescent="0.2">
      <c r="D222" s="263"/>
      <c r="E222" s="263"/>
      <c r="F222" s="263"/>
    </row>
    <row r="223" spans="4:6" s="122" customFormat="1" ht="12.75" x14ac:dyDescent="0.2">
      <c r="D223" s="263"/>
      <c r="E223" s="263"/>
      <c r="F223" s="263"/>
    </row>
    <row r="224" spans="4:6" s="122" customFormat="1" ht="12.75" x14ac:dyDescent="0.2">
      <c r="D224" s="263"/>
      <c r="E224" s="263"/>
      <c r="F224" s="263"/>
    </row>
    <row r="225" spans="4:6" s="122" customFormat="1" ht="12.75" x14ac:dyDescent="0.2">
      <c r="D225" s="263"/>
      <c r="E225" s="263"/>
      <c r="F225" s="263"/>
    </row>
    <row r="226" spans="4:6" s="122" customFormat="1" ht="12.75" x14ac:dyDescent="0.2">
      <c r="D226" s="263"/>
      <c r="E226" s="263"/>
      <c r="F226" s="263"/>
    </row>
    <row r="227" spans="4:6" s="122" customFormat="1" ht="12.75" x14ac:dyDescent="0.2">
      <c r="D227" s="263"/>
      <c r="E227" s="263"/>
      <c r="F227" s="263"/>
    </row>
    <row r="228" spans="4:6" s="122" customFormat="1" ht="12.75" x14ac:dyDescent="0.2">
      <c r="D228" s="263"/>
      <c r="E228" s="263"/>
      <c r="F228" s="263"/>
    </row>
    <row r="229" spans="4:6" s="122" customFormat="1" ht="12.75" x14ac:dyDescent="0.2">
      <c r="D229" s="263"/>
      <c r="E229" s="263"/>
      <c r="F229" s="263"/>
    </row>
    <row r="230" spans="4:6" s="122" customFormat="1" ht="12.75" x14ac:dyDescent="0.2">
      <c r="D230" s="263"/>
      <c r="E230" s="263"/>
      <c r="F230" s="263"/>
    </row>
    <row r="231" spans="4:6" s="122" customFormat="1" ht="12.75" x14ac:dyDescent="0.2">
      <c r="D231" s="263"/>
      <c r="E231" s="263"/>
      <c r="F231" s="263"/>
    </row>
    <row r="232" spans="4:6" s="122" customFormat="1" ht="12.75" x14ac:dyDescent="0.2">
      <c r="D232" s="263"/>
      <c r="E232" s="263"/>
      <c r="F232" s="263"/>
    </row>
    <row r="233" spans="4:6" s="122" customFormat="1" ht="12.75" x14ac:dyDescent="0.2">
      <c r="D233" s="263"/>
      <c r="E233" s="263"/>
      <c r="F233" s="263"/>
    </row>
    <row r="234" spans="4:6" s="122" customFormat="1" ht="12.75" x14ac:dyDescent="0.2">
      <c r="D234" s="263"/>
      <c r="E234" s="263"/>
      <c r="F234" s="263"/>
    </row>
    <row r="235" spans="4:6" s="122" customFormat="1" ht="12.75" x14ac:dyDescent="0.2">
      <c r="D235" s="263"/>
      <c r="E235" s="263"/>
      <c r="F235" s="263"/>
    </row>
    <row r="236" spans="4:6" s="122" customFormat="1" ht="12.75" x14ac:dyDescent="0.2">
      <c r="D236" s="263"/>
      <c r="E236" s="263"/>
      <c r="F236" s="263"/>
    </row>
    <row r="237" spans="4:6" s="122" customFormat="1" ht="12.75" x14ac:dyDescent="0.2">
      <c r="D237" s="263"/>
      <c r="E237" s="263"/>
      <c r="F237" s="263"/>
    </row>
    <row r="238" spans="4:6" s="122" customFormat="1" ht="12.75" x14ac:dyDescent="0.2">
      <c r="D238" s="263"/>
      <c r="E238" s="263"/>
      <c r="F238" s="263"/>
    </row>
    <row r="239" spans="4:6" s="122" customFormat="1" ht="12.75" x14ac:dyDescent="0.2">
      <c r="D239" s="263"/>
      <c r="E239" s="263"/>
      <c r="F239" s="263"/>
    </row>
    <row r="240" spans="4:6" s="122" customFormat="1" ht="12.75" x14ac:dyDescent="0.2">
      <c r="D240" s="263"/>
      <c r="E240" s="263"/>
      <c r="F240" s="263"/>
    </row>
    <row r="241" spans="4:6" s="122" customFormat="1" ht="12.75" x14ac:dyDescent="0.2">
      <c r="D241" s="263"/>
      <c r="E241" s="263"/>
      <c r="F241" s="263"/>
    </row>
    <row r="242" spans="4:6" s="122" customFormat="1" ht="12.75" x14ac:dyDescent="0.2">
      <c r="D242" s="263"/>
      <c r="E242" s="263"/>
      <c r="F242" s="263"/>
    </row>
    <row r="243" spans="4:6" s="122" customFormat="1" ht="12.75" x14ac:dyDescent="0.2">
      <c r="D243" s="263"/>
      <c r="E243" s="263"/>
      <c r="F243" s="263"/>
    </row>
    <row r="244" spans="4:6" s="122" customFormat="1" ht="12.75" x14ac:dyDescent="0.2">
      <c r="D244" s="263"/>
      <c r="E244" s="263"/>
      <c r="F244" s="263"/>
    </row>
    <row r="245" spans="4:6" s="122" customFormat="1" ht="12.75" x14ac:dyDescent="0.2">
      <c r="D245" s="263"/>
      <c r="E245" s="263"/>
      <c r="F245" s="263"/>
    </row>
    <row r="246" spans="4:6" s="122" customFormat="1" ht="12.75" x14ac:dyDescent="0.2">
      <c r="D246" s="263"/>
      <c r="E246" s="263"/>
      <c r="F246" s="263"/>
    </row>
    <row r="247" spans="4:6" s="122" customFormat="1" ht="12.75" x14ac:dyDescent="0.2">
      <c r="D247" s="263"/>
      <c r="E247" s="263"/>
      <c r="F247" s="263"/>
    </row>
    <row r="248" spans="4:6" s="122" customFormat="1" ht="12.75" x14ac:dyDescent="0.2">
      <c r="D248" s="263"/>
      <c r="E248" s="263"/>
      <c r="F248" s="263"/>
    </row>
    <row r="249" spans="4:6" s="122" customFormat="1" ht="12.75" x14ac:dyDescent="0.2">
      <c r="D249" s="263"/>
      <c r="E249" s="263"/>
      <c r="F249" s="263"/>
    </row>
    <row r="250" spans="4:6" s="122" customFormat="1" ht="12.75" x14ac:dyDescent="0.2">
      <c r="D250" s="263"/>
      <c r="E250" s="263"/>
      <c r="F250" s="263"/>
    </row>
    <row r="251" spans="4:6" s="122" customFormat="1" ht="12.75" x14ac:dyDescent="0.2">
      <c r="D251" s="263"/>
      <c r="E251" s="263"/>
      <c r="F251" s="263"/>
    </row>
    <row r="252" spans="4:6" s="122" customFormat="1" ht="12.75" x14ac:dyDescent="0.2">
      <c r="D252" s="263"/>
      <c r="E252" s="263"/>
      <c r="F252" s="263"/>
    </row>
    <row r="253" spans="4:6" s="122" customFormat="1" ht="12.75" x14ac:dyDescent="0.2">
      <c r="D253" s="263"/>
      <c r="E253" s="263"/>
      <c r="F253" s="263"/>
    </row>
    <row r="254" spans="4:6" s="122" customFormat="1" ht="12.75" x14ac:dyDescent="0.2">
      <c r="D254" s="263"/>
      <c r="E254" s="263"/>
      <c r="F254" s="263"/>
    </row>
    <row r="255" spans="4:6" s="122" customFormat="1" ht="12.75" x14ac:dyDescent="0.2">
      <c r="D255" s="263"/>
      <c r="E255" s="263"/>
      <c r="F255" s="263"/>
    </row>
    <row r="256" spans="4:6" s="122" customFormat="1" ht="12.75" x14ac:dyDescent="0.2">
      <c r="D256" s="263"/>
      <c r="E256" s="263"/>
      <c r="F256" s="263"/>
    </row>
    <row r="257" spans="2:6" s="122" customFormat="1" ht="12.75" x14ac:dyDescent="0.2">
      <c r="D257" s="263"/>
      <c r="E257" s="263"/>
      <c r="F257" s="263"/>
    </row>
    <row r="258" spans="2:6" s="122" customFormat="1" x14ac:dyDescent="0.25">
      <c r="B258"/>
      <c r="C258"/>
      <c r="D258" s="228"/>
      <c r="E258" s="228"/>
      <c r="F258" s="263"/>
    </row>
    <row r="259" spans="2:6" s="122" customFormat="1" x14ac:dyDescent="0.25">
      <c r="B259"/>
      <c r="C259"/>
      <c r="D259" s="228"/>
      <c r="E259" s="228"/>
      <c r="F259" s="263"/>
    </row>
  </sheetData>
  <sheetProtection selectLockedCells="1" selectUnlockedCells="1"/>
  <mergeCells count="36">
    <mergeCell ref="AH6:AI6"/>
    <mergeCell ref="AN6:AO6"/>
    <mergeCell ref="AL6:AM6"/>
    <mergeCell ref="AJ6:AK6"/>
    <mergeCell ref="AF6:AG6"/>
    <mergeCell ref="B2:C2"/>
    <mergeCell ref="B3:C3"/>
    <mergeCell ref="D5:F5"/>
    <mergeCell ref="G5:I5"/>
    <mergeCell ref="J6:K6"/>
    <mergeCell ref="J4:K4"/>
    <mergeCell ref="L6:M6"/>
    <mergeCell ref="N6:O6"/>
    <mergeCell ref="AD6:AE6"/>
    <mergeCell ref="L4:M4"/>
    <mergeCell ref="N4:O4"/>
    <mergeCell ref="P4:Q4"/>
    <mergeCell ref="R4:S4"/>
    <mergeCell ref="X6:Y6"/>
    <mergeCell ref="Z6:AA6"/>
    <mergeCell ref="T4:U4"/>
    <mergeCell ref="V4:W4"/>
    <mergeCell ref="P6:Q6"/>
    <mergeCell ref="R6:S6"/>
    <mergeCell ref="T6:U6"/>
    <mergeCell ref="V6:W6"/>
    <mergeCell ref="AB6:AC6"/>
    <mergeCell ref="AN4:AO4"/>
    <mergeCell ref="AL4:AM4"/>
    <mergeCell ref="AJ4:AK4"/>
    <mergeCell ref="X4:Y4"/>
    <mergeCell ref="Z4:AA4"/>
    <mergeCell ref="AB4:AC4"/>
    <mergeCell ref="AD4:AE4"/>
    <mergeCell ref="AF4:AG4"/>
    <mergeCell ref="AH4:AI4"/>
  </mergeCells>
  <phoneticPr fontId="70" type="noConversion"/>
  <printOptions horizontalCentered="1"/>
  <pageMargins left="0.27559055118110237" right="0.11811023622047245" top="0.35433070866141736" bottom="0.35433070866141736" header="0.51181102362204722" footer="0.19685039370078741"/>
  <pageSetup paperSize="9" scale="55" firstPageNumber="0" fitToWidth="0" orientation="portrait" horizontalDpi="300" verticalDpi="300" r:id="rId1"/>
  <headerFooter alignWithMargins="0">
    <oddFooter>&amp;R&amp;P</oddFooter>
  </headerFooter>
  <colBreaks count="4" manualBreakCount="4">
    <brk id="9" max="130" man="1"/>
    <brk id="17" max="130" man="1"/>
    <brk id="25" max="130" man="1"/>
    <brk id="33" max="130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23"/>
  <sheetViews>
    <sheetView view="pageBreakPreview" zoomScale="80" zoomScaleSheetLayoutView="80" workbookViewId="0">
      <selection activeCell="B26" sqref="B26"/>
    </sheetView>
  </sheetViews>
  <sheetFormatPr defaultRowHeight="12.75" x14ac:dyDescent="0.2"/>
  <cols>
    <col min="1" max="1" width="21" style="505" customWidth="1"/>
    <col min="2" max="2" width="25.7109375" style="505" customWidth="1"/>
    <col min="3" max="3" width="18.42578125" style="505" customWidth="1"/>
    <col min="4" max="4" width="9.28515625" style="505" customWidth="1"/>
    <col min="5" max="5" width="18.28515625" style="505" customWidth="1"/>
    <col min="6" max="16384" width="9.140625" style="505"/>
  </cols>
  <sheetData>
    <row r="1" spans="1:5" ht="15.75" x14ac:dyDescent="0.25">
      <c r="E1" s="4" t="s">
        <v>847</v>
      </c>
    </row>
    <row r="2" spans="1:5" ht="15.75" x14ac:dyDescent="0.25">
      <c r="D2" s="506"/>
      <c r="E2" s="5" t="s">
        <v>808</v>
      </c>
    </row>
    <row r="3" spans="1:5" x14ac:dyDescent="0.2">
      <c r="E3" s="507"/>
    </row>
    <row r="4" spans="1:5" ht="15.75" x14ac:dyDescent="0.25">
      <c r="A4" s="610" t="s">
        <v>848</v>
      </c>
      <c r="B4" s="610"/>
      <c r="C4" s="610"/>
      <c r="D4" s="610"/>
      <c r="E4" s="610"/>
    </row>
    <row r="8" spans="1:5" ht="12.75" customHeight="1" thickBot="1" x14ac:dyDescent="0.25">
      <c r="A8" s="611" t="s">
        <v>849</v>
      </c>
      <c r="B8" s="612" t="s">
        <v>514</v>
      </c>
      <c r="C8" s="613" t="s">
        <v>850</v>
      </c>
      <c r="D8" s="613"/>
      <c r="E8" s="613"/>
    </row>
    <row r="9" spans="1:5" ht="26.25" thickBot="1" x14ac:dyDescent="0.25">
      <c r="A9" s="611"/>
      <c r="B9" s="612"/>
      <c r="C9" s="508" t="s">
        <v>851</v>
      </c>
      <c r="D9" s="508" t="s">
        <v>852</v>
      </c>
      <c r="E9" s="509" t="s">
        <v>853</v>
      </c>
    </row>
    <row r="10" spans="1:5" ht="13.5" thickBot="1" x14ac:dyDescent="0.25">
      <c r="A10" s="510">
        <v>1</v>
      </c>
      <c r="B10" s="511">
        <v>2</v>
      </c>
      <c r="C10" s="511">
        <v>3</v>
      </c>
      <c r="D10" s="511">
        <v>4</v>
      </c>
      <c r="E10" s="512">
        <v>5</v>
      </c>
    </row>
    <row r="11" spans="1:5" s="517" customFormat="1" ht="47.25" x14ac:dyDescent="0.25">
      <c r="A11" s="513" t="s">
        <v>854</v>
      </c>
      <c r="B11" s="514" t="s">
        <v>855</v>
      </c>
      <c r="C11" s="514" t="s">
        <v>856</v>
      </c>
      <c r="D11" s="515">
        <v>134</v>
      </c>
      <c r="E11" s="516">
        <v>3159818</v>
      </c>
    </row>
    <row r="12" spans="1:5" s="517" customFormat="1" ht="31.5" x14ac:dyDescent="0.25">
      <c r="A12" s="518" t="s">
        <v>854</v>
      </c>
      <c r="B12" s="519" t="s">
        <v>857</v>
      </c>
      <c r="C12" s="514" t="s">
        <v>858</v>
      </c>
      <c r="D12" s="520">
        <v>6</v>
      </c>
      <c r="E12" s="521">
        <v>77156</v>
      </c>
    </row>
    <row r="13" spans="1:5" s="517" customFormat="1" ht="31.5" x14ac:dyDescent="0.25">
      <c r="A13" s="518" t="s">
        <v>854</v>
      </c>
      <c r="B13" s="519" t="s">
        <v>859</v>
      </c>
      <c r="C13" s="514" t="s">
        <v>858</v>
      </c>
      <c r="D13" s="520">
        <v>5</v>
      </c>
      <c r="E13" s="521">
        <v>47096</v>
      </c>
    </row>
    <row r="14" spans="1:5" s="517" customFormat="1" ht="31.5" x14ac:dyDescent="0.25">
      <c r="A14" s="518" t="s">
        <v>854</v>
      </c>
      <c r="B14" s="519" t="s">
        <v>860</v>
      </c>
      <c r="C14" s="514" t="s">
        <v>858</v>
      </c>
      <c r="D14" s="520">
        <v>2</v>
      </c>
      <c r="E14" s="521">
        <v>26000</v>
      </c>
    </row>
    <row r="15" spans="1:5" s="517" customFormat="1" ht="31.5" x14ac:dyDescent="0.25">
      <c r="A15" s="518" t="s">
        <v>854</v>
      </c>
      <c r="B15" s="519" t="s">
        <v>861</v>
      </c>
      <c r="C15" s="514" t="s">
        <v>858</v>
      </c>
      <c r="D15" s="520">
        <v>3</v>
      </c>
      <c r="E15" s="521">
        <v>529200</v>
      </c>
    </row>
    <row r="16" spans="1:5" s="517" customFormat="1" ht="31.5" x14ac:dyDescent="0.25">
      <c r="A16" s="522"/>
      <c r="B16" s="519" t="s">
        <v>862</v>
      </c>
      <c r="C16" s="514" t="s">
        <v>858</v>
      </c>
      <c r="D16" s="520">
        <v>17</v>
      </c>
      <c r="E16" s="521">
        <v>51813</v>
      </c>
    </row>
    <row r="17" spans="1:6" s="517" customFormat="1" ht="31.5" x14ac:dyDescent="0.25">
      <c r="A17" s="522"/>
      <c r="B17" s="519" t="s">
        <v>863</v>
      </c>
      <c r="C17" s="514" t="s">
        <v>858</v>
      </c>
      <c r="D17" s="520"/>
      <c r="E17" s="521"/>
    </row>
    <row r="18" spans="1:6" s="517" customFormat="1" ht="63.95" customHeight="1" thickBot="1" x14ac:dyDescent="0.3">
      <c r="A18" s="523"/>
      <c r="B18" s="524" t="s">
        <v>864</v>
      </c>
      <c r="C18" s="514" t="s">
        <v>865</v>
      </c>
      <c r="D18" s="525">
        <v>509</v>
      </c>
      <c r="E18" s="526">
        <f>3613599/3*4</f>
        <v>4818132</v>
      </c>
    </row>
    <row r="19" spans="1:6" ht="19.5" thickBot="1" x14ac:dyDescent="0.35">
      <c r="A19" s="614" t="s">
        <v>866</v>
      </c>
      <c r="B19" s="614"/>
      <c r="C19" s="614"/>
      <c r="D19" s="614"/>
      <c r="E19" s="527">
        <f>SUM(E11:E18)</f>
        <v>8709215</v>
      </c>
      <c r="F19" s="70"/>
    </row>
    <row r="23" spans="1:6" ht="15.75" x14ac:dyDescent="0.25">
      <c r="E23" s="70"/>
    </row>
  </sheetData>
  <sheetProtection selectLockedCells="1" selectUnlockedCells="1"/>
  <mergeCells count="5">
    <mergeCell ref="A4:E4"/>
    <mergeCell ref="A8:A9"/>
    <mergeCell ref="B8:B9"/>
    <mergeCell ref="C8:E8"/>
    <mergeCell ref="A19:D19"/>
  </mergeCells>
  <printOptions horizontalCentered="1"/>
  <pageMargins left="0.55138888888888893" right="0.42986111111111114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157"/>
  <sheetViews>
    <sheetView view="pageBreakPreview" zoomScale="80" zoomScaleSheetLayoutView="80" workbookViewId="0">
      <selection activeCell="C1" sqref="C1:E1048576"/>
    </sheetView>
  </sheetViews>
  <sheetFormatPr defaultRowHeight="15.75" x14ac:dyDescent="0.25"/>
  <cols>
    <col min="1" max="1" width="78" style="2" customWidth="1"/>
    <col min="2" max="2" width="10.42578125" style="2" customWidth="1"/>
    <col min="3" max="4" width="11.5703125" style="2" customWidth="1"/>
    <col min="5" max="5" width="13" style="70" customWidth="1"/>
    <col min="6" max="16384" width="9.140625" style="2"/>
  </cols>
  <sheetData>
    <row r="1" spans="1:5" x14ac:dyDescent="0.25">
      <c r="E1" s="4" t="s">
        <v>867</v>
      </c>
    </row>
    <row r="2" spans="1:5" x14ac:dyDescent="0.25">
      <c r="E2" s="5" t="s">
        <v>808</v>
      </c>
    </row>
    <row r="3" spans="1:5" ht="26.25" customHeight="1" x14ac:dyDescent="0.3">
      <c r="A3" s="503" t="s">
        <v>767</v>
      </c>
      <c r="B3" s="71"/>
      <c r="C3" s="71"/>
      <c r="D3" s="71"/>
      <c r="E3" s="528"/>
    </row>
    <row r="4" spans="1:5" ht="15.6" customHeight="1" x14ac:dyDescent="0.25">
      <c r="A4" s="582" t="s">
        <v>868</v>
      </c>
      <c r="B4" s="582"/>
      <c r="C4" s="582"/>
      <c r="D4" s="582"/>
      <c r="E4" s="582"/>
    </row>
    <row r="6" spans="1:5" ht="47.25" x14ac:dyDescent="0.25">
      <c r="A6" s="8" t="s">
        <v>8</v>
      </c>
      <c r="B6" s="504" t="s">
        <v>33</v>
      </c>
      <c r="C6" s="36" t="s">
        <v>869</v>
      </c>
      <c r="D6" s="36" t="s">
        <v>870</v>
      </c>
      <c r="E6" s="36" t="s">
        <v>871</v>
      </c>
    </row>
    <row r="7" spans="1:5" x14ac:dyDescent="0.25">
      <c r="A7" s="39" t="s">
        <v>34</v>
      </c>
      <c r="B7" s="40" t="s">
        <v>35</v>
      </c>
      <c r="C7" s="13">
        <v>1349046</v>
      </c>
      <c r="D7" s="13">
        <v>1437617</v>
      </c>
      <c r="E7" s="83">
        <v>1606948.7749999999</v>
      </c>
    </row>
    <row r="8" spans="1:5" x14ac:dyDescent="0.25">
      <c r="A8" s="41" t="s">
        <v>36</v>
      </c>
      <c r="B8" s="40" t="s">
        <v>37</v>
      </c>
      <c r="C8" s="13">
        <v>62317</v>
      </c>
      <c r="D8" s="13">
        <v>69785</v>
      </c>
      <c r="E8" s="83">
        <v>104068.981</v>
      </c>
    </row>
    <row r="9" spans="1:5" s="84" customFormat="1" x14ac:dyDescent="0.25">
      <c r="A9" s="529" t="s">
        <v>38</v>
      </c>
      <c r="B9" s="530" t="s">
        <v>39</v>
      </c>
      <c r="C9" s="76">
        <v>1411363</v>
      </c>
      <c r="D9" s="76">
        <v>1507402</v>
      </c>
      <c r="E9" s="76">
        <v>1711017.7559999998</v>
      </c>
    </row>
    <row r="10" spans="1:5" s="16" customFormat="1" x14ac:dyDescent="0.25">
      <c r="A10" s="44" t="s">
        <v>40</v>
      </c>
      <c r="B10" s="43" t="s">
        <v>41</v>
      </c>
      <c r="C10" s="14">
        <v>269490</v>
      </c>
      <c r="D10" s="14">
        <v>274558</v>
      </c>
      <c r="E10" s="83">
        <v>304032.75699999998</v>
      </c>
    </row>
    <row r="11" spans="1:5" x14ac:dyDescent="0.25">
      <c r="A11" s="41" t="s">
        <v>42</v>
      </c>
      <c r="B11" s="40" t="s">
        <v>43</v>
      </c>
      <c r="C11" s="13">
        <v>250991</v>
      </c>
      <c r="D11" s="13">
        <v>264829</v>
      </c>
      <c r="E11" s="83">
        <v>286310.79300000001</v>
      </c>
    </row>
    <row r="12" spans="1:5" x14ac:dyDescent="0.25">
      <c r="A12" s="41" t="s">
        <v>44</v>
      </c>
      <c r="B12" s="40" t="s">
        <v>45</v>
      </c>
      <c r="C12" s="13">
        <v>13759</v>
      </c>
      <c r="D12" s="13">
        <v>13450</v>
      </c>
      <c r="E12" s="83">
        <v>14318.942999999999</v>
      </c>
    </row>
    <row r="13" spans="1:5" x14ac:dyDescent="0.25">
      <c r="A13" s="41" t="s">
        <v>46</v>
      </c>
      <c r="B13" s="40" t="s">
        <v>47</v>
      </c>
      <c r="C13" s="13">
        <v>476249</v>
      </c>
      <c r="D13" s="13">
        <v>514612</v>
      </c>
      <c r="E13" s="83">
        <v>701955.28700000001</v>
      </c>
    </row>
    <row r="14" spans="1:5" x14ac:dyDescent="0.25">
      <c r="A14" s="41" t="s">
        <v>48</v>
      </c>
      <c r="B14" s="40" t="s">
        <v>49</v>
      </c>
      <c r="C14" s="13">
        <v>7674</v>
      </c>
      <c r="D14" s="13">
        <v>13462</v>
      </c>
      <c r="E14" s="83">
        <v>48968.190999999999</v>
      </c>
    </row>
    <row r="15" spans="1:5" x14ac:dyDescent="0.25">
      <c r="A15" s="41" t="s">
        <v>50</v>
      </c>
      <c r="B15" s="40" t="s">
        <v>51</v>
      </c>
      <c r="C15" s="13">
        <v>245147</v>
      </c>
      <c r="D15" s="13">
        <v>274478</v>
      </c>
      <c r="E15" s="83">
        <v>285490.02899999998</v>
      </c>
    </row>
    <row r="16" spans="1:5" s="84" customFormat="1" x14ac:dyDescent="0.25">
      <c r="A16" s="74" t="s">
        <v>52</v>
      </c>
      <c r="B16" s="530" t="s">
        <v>53</v>
      </c>
      <c r="C16" s="76">
        <v>993820</v>
      </c>
      <c r="D16" s="76">
        <v>1080831</v>
      </c>
      <c r="E16" s="76">
        <v>1337043.2430000002</v>
      </c>
    </row>
    <row r="17" spans="1:5" s="16" customFormat="1" x14ac:dyDescent="0.25">
      <c r="A17" s="45" t="s">
        <v>54</v>
      </c>
      <c r="B17" s="43" t="s">
        <v>55</v>
      </c>
      <c r="C17" s="14">
        <v>42911</v>
      </c>
      <c r="D17" s="14">
        <v>40610</v>
      </c>
      <c r="E17" s="83">
        <v>60000</v>
      </c>
    </row>
    <row r="18" spans="1:5" x14ac:dyDescent="0.25">
      <c r="A18" s="46" t="s">
        <v>56</v>
      </c>
      <c r="B18" s="40" t="s">
        <v>57</v>
      </c>
      <c r="C18" s="13"/>
      <c r="D18" s="13"/>
      <c r="E18" s="83">
        <v>0</v>
      </c>
    </row>
    <row r="19" spans="1:5" x14ac:dyDescent="0.25">
      <c r="A19" s="46" t="s">
        <v>58</v>
      </c>
      <c r="B19" s="40" t="s">
        <v>59</v>
      </c>
      <c r="C19" s="13">
        <v>183</v>
      </c>
      <c r="D19" s="13">
        <v>30255</v>
      </c>
      <c r="E19" s="83">
        <v>10434.5</v>
      </c>
    </row>
    <row r="20" spans="1:5" x14ac:dyDescent="0.25">
      <c r="A20" s="46" t="s">
        <v>60</v>
      </c>
      <c r="B20" s="40" t="s">
        <v>61</v>
      </c>
      <c r="C20" s="13"/>
      <c r="D20" s="13"/>
      <c r="E20" s="83">
        <v>0</v>
      </c>
    </row>
    <row r="21" spans="1:5" x14ac:dyDescent="0.25">
      <c r="A21" s="46" t="s">
        <v>62</v>
      </c>
      <c r="B21" s="40" t="s">
        <v>63</v>
      </c>
      <c r="C21" s="13"/>
      <c r="D21" s="13"/>
      <c r="E21" s="83">
        <v>0</v>
      </c>
    </row>
    <row r="22" spans="1:5" x14ac:dyDescent="0.25">
      <c r="A22" s="46" t="s">
        <v>587</v>
      </c>
      <c r="B22" s="40" t="s">
        <v>65</v>
      </c>
      <c r="C22" s="13"/>
      <c r="D22" s="13"/>
      <c r="E22" s="83">
        <v>0</v>
      </c>
    </row>
    <row r="23" spans="1:5" x14ac:dyDescent="0.25">
      <c r="A23" s="46" t="s">
        <v>66</v>
      </c>
      <c r="B23" s="40" t="s">
        <v>67</v>
      </c>
      <c r="C23" s="13">
        <v>23610</v>
      </c>
      <c r="D23" s="13">
        <v>15260</v>
      </c>
      <c r="E23" s="83">
        <v>9555.4560000000001</v>
      </c>
    </row>
    <row r="24" spans="1:5" x14ac:dyDescent="0.25">
      <c r="A24" s="46" t="s">
        <v>68</v>
      </c>
      <c r="B24" s="40" t="s">
        <v>69</v>
      </c>
      <c r="C24" s="13"/>
      <c r="D24" s="13"/>
      <c r="E24" s="83">
        <v>0</v>
      </c>
    </row>
    <row r="25" spans="1:5" x14ac:dyDescent="0.25">
      <c r="A25" s="46" t="s">
        <v>70</v>
      </c>
      <c r="B25" s="40" t="s">
        <v>71</v>
      </c>
      <c r="C25" s="13">
        <v>0</v>
      </c>
      <c r="D25" s="13">
        <v>2812</v>
      </c>
      <c r="E25" s="83">
        <v>0</v>
      </c>
    </row>
    <row r="26" spans="1:5" x14ac:dyDescent="0.25">
      <c r="A26" s="46" t="s">
        <v>72</v>
      </c>
      <c r="B26" s="40" t="s">
        <v>73</v>
      </c>
      <c r="C26" s="13"/>
      <c r="D26" s="13"/>
      <c r="E26" s="83">
        <v>0</v>
      </c>
    </row>
    <row r="27" spans="1:5" x14ac:dyDescent="0.25">
      <c r="A27" s="47" t="s">
        <v>74</v>
      </c>
      <c r="B27" s="40" t="s">
        <v>75</v>
      </c>
      <c r="C27" s="13"/>
      <c r="D27" s="13"/>
      <c r="E27" s="83">
        <v>0</v>
      </c>
    </row>
    <row r="28" spans="1:5" x14ac:dyDescent="0.25">
      <c r="A28" s="46" t="s">
        <v>76</v>
      </c>
      <c r="B28" s="40" t="s">
        <v>77</v>
      </c>
      <c r="C28" s="13"/>
      <c r="D28" s="13"/>
      <c r="E28" s="83">
        <v>0</v>
      </c>
    </row>
    <row r="29" spans="1:5" x14ac:dyDescent="0.25">
      <c r="A29" s="46" t="s">
        <v>78</v>
      </c>
      <c r="B29" s="40" t="s">
        <v>79</v>
      </c>
      <c r="C29" s="13">
        <v>91566</v>
      </c>
      <c r="D29" s="13">
        <v>76939</v>
      </c>
      <c r="E29" s="83">
        <v>56190</v>
      </c>
    </row>
    <row r="30" spans="1:5" x14ac:dyDescent="0.25">
      <c r="A30" s="47" t="s">
        <v>80</v>
      </c>
      <c r="B30" s="40" t="s">
        <v>81</v>
      </c>
      <c r="C30" s="13"/>
      <c r="D30" s="13"/>
      <c r="E30" s="83">
        <v>20000</v>
      </c>
    </row>
    <row r="31" spans="1:5" x14ac:dyDescent="0.25">
      <c r="A31" s="47" t="s">
        <v>82</v>
      </c>
      <c r="B31" s="40" t="s">
        <v>81</v>
      </c>
      <c r="C31" s="13"/>
      <c r="D31" s="13"/>
      <c r="E31" s="83">
        <v>4800</v>
      </c>
    </row>
    <row r="32" spans="1:5" s="84" customFormat="1" x14ac:dyDescent="0.25">
      <c r="A32" s="102" t="s">
        <v>83</v>
      </c>
      <c r="B32" s="530" t="s">
        <v>84</v>
      </c>
      <c r="C32" s="76">
        <v>115359</v>
      </c>
      <c r="D32" s="76">
        <v>125266</v>
      </c>
      <c r="E32" s="76">
        <v>100979.95600000001</v>
      </c>
    </row>
    <row r="33" spans="1:5" s="84" customFormat="1" x14ac:dyDescent="0.25">
      <c r="A33" s="531" t="s">
        <v>85</v>
      </c>
      <c r="B33" s="530" t="s">
        <v>86</v>
      </c>
      <c r="C33" s="76">
        <v>2832943</v>
      </c>
      <c r="D33" s="76">
        <v>3028667</v>
      </c>
      <c r="E33" s="76">
        <v>3513073.7120000003</v>
      </c>
    </row>
    <row r="34" spans="1:5" x14ac:dyDescent="0.25">
      <c r="A34" s="51" t="s">
        <v>87</v>
      </c>
      <c r="B34" s="40" t="s">
        <v>88</v>
      </c>
      <c r="C34" s="13">
        <v>2472</v>
      </c>
      <c r="D34" s="13">
        <v>3770</v>
      </c>
      <c r="E34" s="83">
        <v>106</v>
      </c>
    </row>
    <row r="35" spans="1:5" x14ac:dyDescent="0.25">
      <c r="A35" s="51" t="s">
        <v>89</v>
      </c>
      <c r="B35" s="40" t="s">
        <v>90</v>
      </c>
      <c r="C35" s="13">
        <v>133321</v>
      </c>
      <c r="D35" s="13">
        <v>294911</v>
      </c>
      <c r="E35" s="83">
        <v>325436.641</v>
      </c>
    </row>
    <row r="36" spans="1:5" x14ac:dyDescent="0.25">
      <c r="A36" s="51" t="s">
        <v>91</v>
      </c>
      <c r="B36" s="40" t="s">
        <v>92</v>
      </c>
      <c r="C36" s="13">
        <v>7369</v>
      </c>
      <c r="D36" s="13">
        <v>2300</v>
      </c>
      <c r="E36" s="83">
        <v>2260.8420000000001</v>
      </c>
    </row>
    <row r="37" spans="1:5" x14ac:dyDescent="0.25">
      <c r="A37" s="51" t="s">
        <v>93</v>
      </c>
      <c r="B37" s="40" t="s">
        <v>94</v>
      </c>
      <c r="C37" s="13">
        <v>128439</v>
      </c>
      <c r="D37" s="13">
        <v>173171</v>
      </c>
      <c r="E37" s="83">
        <v>531333.88399999996</v>
      </c>
    </row>
    <row r="38" spans="1:5" x14ac:dyDescent="0.25">
      <c r="A38" s="52" t="s">
        <v>95</v>
      </c>
      <c r="B38" s="40" t="s">
        <v>96</v>
      </c>
      <c r="C38" s="13"/>
      <c r="D38" s="13"/>
      <c r="E38" s="83">
        <v>0</v>
      </c>
    </row>
    <row r="39" spans="1:5" x14ac:dyDescent="0.25">
      <c r="A39" s="52" t="s">
        <v>97</v>
      </c>
      <c r="B39" s="40" t="s">
        <v>98</v>
      </c>
      <c r="C39" s="13"/>
      <c r="D39" s="13">
        <v>122</v>
      </c>
      <c r="E39" s="83">
        <v>0</v>
      </c>
    </row>
    <row r="40" spans="1:5" x14ac:dyDescent="0.25">
      <c r="A40" s="52" t="s">
        <v>99</v>
      </c>
      <c r="B40" s="40" t="s">
        <v>100</v>
      </c>
      <c r="C40" s="13">
        <v>40313</v>
      </c>
      <c r="D40" s="13">
        <v>49319</v>
      </c>
      <c r="E40" s="83">
        <v>199120.516</v>
      </c>
    </row>
    <row r="41" spans="1:5" s="84" customFormat="1" x14ac:dyDescent="0.25">
      <c r="A41" s="75" t="s">
        <v>101</v>
      </c>
      <c r="B41" s="530" t="s">
        <v>102</v>
      </c>
      <c r="C41" s="76">
        <v>311914</v>
      </c>
      <c r="D41" s="76">
        <v>523593</v>
      </c>
      <c r="E41" s="76">
        <v>1058257.8829999999</v>
      </c>
    </row>
    <row r="42" spans="1:5" x14ac:dyDescent="0.25">
      <c r="A42" s="54" t="s">
        <v>103</v>
      </c>
      <c r="B42" s="40" t="s">
        <v>104</v>
      </c>
      <c r="C42" s="13">
        <v>569688</v>
      </c>
      <c r="D42" s="13">
        <v>550494</v>
      </c>
      <c r="E42" s="83">
        <v>1122044.6070000001</v>
      </c>
    </row>
    <row r="43" spans="1:5" x14ac:dyDescent="0.25">
      <c r="A43" s="54" t="s">
        <v>105</v>
      </c>
      <c r="B43" s="40" t="s">
        <v>106</v>
      </c>
      <c r="C43" s="13"/>
      <c r="D43" s="13"/>
      <c r="E43" s="83">
        <v>0</v>
      </c>
    </row>
    <row r="44" spans="1:5" x14ac:dyDescent="0.25">
      <c r="A44" s="54" t="s">
        <v>107</v>
      </c>
      <c r="B44" s="40" t="s">
        <v>108</v>
      </c>
      <c r="C44" s="13">
        <v>14644</v>
      </c>
      <c r="D44" s="13">
        <v>9892</v>
      </c>
      <c r="E44" s="83">
        <v>0</v>
      </c>
    </row>
    <row r="45" spans="1:5" x14ac:dyDescent="0.25">
      <c r="A45" s="54" t="s">
        <v>109</v>
      </c>
      <c r="B45" s="40" t="s">
        <v>110</v>
      </c>
      <c r="C45" s="13">
        <v>58298</v>
      </c>
      <c r="D45" s="13">
        <v>77415</v>
      </c>
      <c r="E45" s="83">
        <v>306345.53200000001</v>
      </c>
    </row>
    <row r="46" spans="1:5" s="84" customFormat="1" x14ac:dyDescent="0.25">
      <c r="A46" s="74" t="s">
        <v>111</v>
      </c>
      <c r="B46" s="530" t="s">
        <v>112</v>
      </c>
      <c r="C46" s="76">
        <v>642630</v>
      </c>
      <c r="D46" s="76">
        <v>637801</v>
      </c>
      <c r="E46" s="76">
        <v>1428390.139</v>
      </c>
    </row>
    <row r="47" spans="1:5" hidden="1" x14ac:dyDescent="0.25">
      <c r="A47" s="54" t="s">
        <v>872</v>
      </c>
      <c r="B47" s="40" t="s">
        <v>114</v>
      </c>
      <c r="C47" s="13"/>
      <c r="D47" s="13"/>
      <c r="E47" s="83">
        <v>0</v>
      </c>
    </row>
    <row r="48" spans="1:5" hidden="1" x14ac:dyDescent="0.25">
      <c r="A48" s="54" t="s">
        <v>590</v>
      </c>
      <c r="B48" s="40" t="s">
        <v>116</v>
      </c>
      <c r="C48" s="13"/>
      <c r="D48" s="13"/>
      <c r="E48" s="83">
        <v>0</v>
      </c>
    </row>
    <row r="49" spans="1:5" hidden="1" x14ac:dyDescent="0.25">
      <c r="A49" s="54" t="s">
        <v>873</v>
      </c>
      <c r="B49" s="40" t="s">
        <v>118</v>
      </c>
      <c r="C49" s="13"/>
      <c r="D49" s="13"/>
      <c r="E49" s="83">
        <v>0</v>
      </c>
    </row>
    <row r="50" spans="1:5" x14ac:dyDescent="0.25">
      <c r="A50" s="54" t="s">
        <v>119</v>
      </c>
      <c r="B50" s="40" t="s">
        <v>120</v>
      </c>
      <c r="C50" s="13"/>
      <c r="D50" s="13">
        <v>2000</v>
      </c>
      <c r="E50" s="83">
        <v>0</v>
      </c>
    </row>
    <row r="51" spans="1:5" x14ac:dyDescent="0.25">
      <c r="A51" s="54" t="s">
        <v>874</v>
      </c>
      <c r="B51" s="40" t="s">
        <v>122</v>
      </c>
      <c r="C51" s="13"/>
      <c r="D51" s="13"/>
      <c r="E51" s="83">
        <v>13101</v>
      </c>
    </row>
    <row r="52" spans="1:5" x14ac:dyDescent="0.25">
      <c r="A52" s="54" t="s">
        <v>875</v>
      </c>
      <c r="B52" s="40" t="s">
        <v>124</v>
      </c>
      <c r="C52" s="13"/>
      <c r="D52" s="13"/>
      <c r="E52" s="83">
        <v>0</v>
      </c>
    </row>
    <row r="53" spans="1:5" x14ac:dyDescent="0.25">
      <c r="A53" s="54" t="s">
        <v>125</v>
      </c>
      <c r="B53" s="40" t="s">
        <v>126</v>
      </c>
      <c r="C53" s="13"/>
      <c r="D53" s="13"/>
      <c r="E53" s="83">
        <v>0</v>
      </c>
    </row>
    <row r="54" spans="1:5" x14ac:dyDescent="0.25">
      <c r="A54" s="54" t="s">
        <v>127</v>
      </c>
      <c r="B54" s="40" t="s">
        <v>128</v>
      </c>
      <c r="C54" s="13"/>
      <c r="D54" s="13"/>
      <c r="E54" s="83">
        <v>0</v>
      </c>
    </row>
    <row r="55" spans="1:5" x14ac:dyDescent="0.25">
      <c r="A55" s="54" t="s">
        <v>129</v>
      </c>
      <c r="B55" s="40" t="s">
        <v>130</v>
      </c>
      <c r="C55" s="13">
        <v>0</v>
      </c>
      <c r="D55" s="13">
        <v>0</v>
      </c>
      <c r="E55" s="83">
        <v>0</v>
      </c>
    </row>
    <row r="56" spans="1:5" s="84" customFormat="1" x14ac:dyDescent="0.25">
      <c r="A56" s="102" t="s">
        <v>131</v>
      </c>
      <c r="B56" s="530" t="s">
        <v>132</v>
      </c>
      <c r="C56" s="76">
        <v>0</v>
      </c>
      <c r="D56" s="76">
        <v>2000</v>
      </c>
      <c r="E56" s="76">
        <v>13101</v>
      </c>
    </row>
    <row r="57" spans="1:5" s="84" customFormat="1" x14ac:dyDescent="0.25">
      <c r="A57" s="531" t="s">
        <v>133</v>
      </c>
      <c r="B57" s="530" t="s">
        <v>134</v>
      </c>
      <c r="C57" s="76">
        <v>954544</v>
      </c>
      <c r="D57" s="76">
        <v>1163394</v>
      </c>
      <c r="E57" s="76">
        <v>2499749.0219999999</v>
      </c>
    </row>
    <row r="58" spans="1:5" s="84" customFormat="1" x14ac:dyDescent="0.25">
      <c r="A58" s="75" t="s">
        <v>135</v>
      </c>
      <c r="B58" s="530" t="s">
        <v>136</v>
      </c>
      <c r="C58" s="76">
        <v>3787487</v>
      </c>
      <c r="D58" s="76">
        <v>4192061</v>
      </c>
      <c r="E58" s="76">
        <v>6012822.7340000002</v>
      </c>
    </row>
    <row r="59" spans="1:5" x14ac:dyDescent="0.25">
      <c r="A59" s="54" t="s">
        <v>137</v>
      </c>
      <c r="B59" s="41" t="s">
        <v>138</v>
      </c>
      <c r="C59" s="13"/>
      <c r="D59" s="13"/>
      <c r="E59" s="83">
        <v>0</v>
      </c>
    </row>
    <row r="60" spans="1:5" x14ac:dyDescent="0.25">
      <c r="A60" s="54" t="s">
        <v>139</v>
      </c>
      <c r="B60" s="41" t="s">
        <v>140</v>
      </c>
      <c r="C60" s="13"/>
      <c r="D60" s="13"/>
      <c r="E60" s="83">
        <v>0</v>
      </c>
    </row>
    <row r="61" spans="1:5" x14ac:dyDescent="0.25">
      <c r="A61" s="54" t="s">
        <v>141</v>
      </c>
      <c r="B61" s="41" t="s">
        <v>142</v>
      </c>
      <c r="C61" s="13">
        <v>73268</v>
      </c>
      <c r="D61" s="13">
        <v>43317</v>
      </c>
      <c r="E61" s="83">
        <v>88500</v>
      </c>
    </row>
    <row r="62" spans="1:5" s="84" customFormat="1" x14ac:dyDescent="0.25">
      <c r="A62" s="102" t="s">
        <v>143</v>
      </c>
      <c r="B62" s="74" t="s">
        <v>144</v>
      </c>
      <c r="C62" s="532">
        <v>73268</v>
      </c>
      <c r="D62" s="532">
        <v>43317</v>
      </c>
      <c r="E62" s="532">
        <v>88500</v>
      </c>
    </row>
    <row r="63" spans="1:5" x14ac:dyDescent="0.25">
      <c r="A63" s="59" t="s">
        <v>145</v>
      </c>
      <c r="B63" s="41" t="s">
        <v>146</v>
      </c>
      <c r="C63" s="13"/>
      <c r="D63" s="13"/>
      <c r="E63" s="83">
        <v>0</v>
      </c>
    </row>
    <row r="64" spans="1:5" x14ac:dyDescent="0.25">
      <c r="A64" s="59" t="s">
        <v>147</v>
      </c>
      <c r="B64" s="41" t="s">
        <v>148</v>
      </c>
      <c r="C64" s="13"/>
      <c r="D64" s="13"/>
      <c r="E64" s="83">
        <v>0</v>
      </c>
    </row>
    <row r="65" spans="1:5" x14ac:dyDescent="0.25">
      <c r="A65" s="59" t="s">
        <v>149</v>
      </c>
      <c r="B65" s="41" t="s">
        <v>150</v>
      </c>
      <c r="C65" s="13">
        <v>35475</v>
      </c>
      <c r="D65" s="13">
        <v>36066</v>
      </c>
      <c r="E65" s="83">
        <v>40849.120000000003</v>
      </c>
    </row>
    <row r="66" spans="1:5" x14ac:dyDescent="0.25">
      <c r="A66" s="59" t="s">
        <v>151</v>
      </c>
      <c r="B66" s="41" t="s">
        <v>152</v>
      </c>
      <c r="C66" s="13"/>
      <c r="D66" s="13"/>
      <c r="E66" s="83">
        <v>0</v>
      </c>
    </row>
    <row r="67" spans="1:5" s="84" customFormat="1" hidden="1" x14ac:dyDescent="0.25">
      <c r="A67" s="59" t="s">
        <v>153</v>
      </c>
      <c r="B67" s="41" t="s">
        <v>154</v>
      </c>
      <c r="C67" s="13"/>
      <c r="D67" s="13"/>
      <c r="E67" s="83">
        <v>0</v>
      </c>
    </row>
    <row r="68" spans="1:5" hidden="1" x14ac:dyDescent="0.25">
      <c r="A68" s="59" t="s">
        <v>155</v>
      </c>
      <c r="B68" s="41" t="s">
        <v>156</v>
      </c>
      <c r="C68" s="13"/>
      <c r="D68" s="13"/>
      <c r="E68" s="83">
        <v>0</v>
      </c>
    </row>
    <row r="69" spans="1:5" hidden="1" x14ac:dyDescent="0.25">
      <c r="A69" s="59" t="s">
        <v>157</v>
      </c>
      <c r="B69" s="41" t="s">
        <v>158</v>
      </c>
      <c r="C69" s="13"/>
      <c r="D69" s="13"/>
      <c r="E69" s="83">
        <v>0</v>
      </c>
    </row>
    <row r="70" spans="1:5" hidden="1" x14ac:dyDescent="0.25">
      <c r="A70" s="59" t="s">
        <v>159</v>
      </c>
      <c r="B70" s="41" t="s">
        <v>160</v>
      </c>
      <c r="C70" s="13"/>
      <c r="D70" s="13"/>
      <c r="E70" s="83">
        <v>0</v>
      </c>
    </row>
    <row r="71" spans="1:5" x14ac:dyDescent="0.25">
      <c r="A71" s="533" t="s">
        <v>161</v>
      </c>
      <c r="B71" s="74" t="s">
        <v>162</v>
      </c>
      <c r="C71" s="534">
        <v>108743</v>
      </c>
      <c r="D71" s="534">
        <v>79383</v>
      </c>
      <c r="E71" s="534">
        <v>129349.12</v>
      </c>
    </row>
    <row r="72" spans="1:5" hidden="1" x14ac:dyDescent="0.25">
      <c r="A72" s="59" t="s">
        <v>163</v>
      </c>
      <c r="B72" s="41" t="s">
        <v>164</v>
      </c>
      <c r="C72" s="13"/>
      <c r="D72" s="13"/>
      <c r="E72" s="83">
        <v>0</v>
      </c>
    </row>
    <row r="73" spans="1:5" hidden="1" x14ac:dyDescent="0.25">
      <c r="A73" s="54" t="s">
        <v>165</v>
      </c>
      <c r="B73" s="41" t="s">
        <v>166</v>
      </c>
      <c r="C73" s="13"/>
      <c r="D73" s="13"/>
      <c r="E73" s="83">
        <v>0</v>
      </c>
    </row>
    <row r="74" spans="1:5" s="84" customFormat="1" hidden="1" x14ac:dyDescent="0.25">
      <c r="A74" s="54" t="s">
        <v>167</v>
      </c>
      <c r="B74" s="41" t="s">
        <v>168</v>
      </c>
      <c r="C74" s="13"/>
      <c r="D74" s="13"/>
      <c r="E74" s="83">
        <v>0</v>
      </c>
    </row>
    <row r="75" spans="1:5" s="84" customFormat="1" x14ac:dyDescent="0.25">
      <c r="A75" s="533" t="s">
        <v>169</v>
      </c>
      <c r="B75" s="74" t="s">
        <v>170</v>
      </c>
      <c r="C75" s="535">
        <v>108743</v>
      </c>
      <c r="D75" s="535">
        <v>79383</v>
      </c>
      <c r="E75" s="535">
        <v>129349.12</v>
      </c>
    </row>
    <row r="76" spans="1:5" s="84" customFormat="1" x14ac:dyDescent="0.25">
      <c r="A76" s="536" t="s">
        <v>171</v>
      </c>
      <c r="B76" s="536" t="s">
        <v>172</v>
      </c>
      <c r="C76" s="76">
        <v>3896230</v>
      </c>
      <c r="D76" s="76">
        <v>4271444</v>
      </c>
      <c r="E76" s="76">
        <v>6142171.8540000003</v>
      </c>
    </row>
    <row r="77" spans="1:5" x14ac:dyDescent="0.25">
      <c r="C77" s="3"/>
      <c r="D77" s="3"/>
      <c r="E77" s="88"/>
    </row>
    <row r="78" spans="1:5" x14ac:dyDescent="0.25">
      <c r="C78" s="3"/>
      <c r="D78" s="3"/>
      <c r="E78" s="88"/>
    </row>
    <row r="79" spans="1:5" ht="47.25" customHeight="1" x14ac:dyDescent="0.25">
      <c r="A79" s="8" t="s">
        <v>8</v>
      </c>
      <c r="B79" s="504" t="s">
        <v>173</v>
      </c>
      <c r="C79" s="36" t="s">
        <v>869</v>
      </c>
      <c r="D79" s="36" t="s">
        <v>870</v>
      </c>
      <c r="E79" s="36" t="s">
        <v>871</v>
      </c>
    </row>
    <row r="80" spans="1:5" x14ac:dyDescent="0.25">
      <c r="A80" s="39" t="s">
        <v>174</v>
      </c>
      <c r="B80" s="52" t="s">
        <v>175</v>
      </c>
      <c r="C80" s="13">
        <v>214718</v>
      </c>
      <c r="D80" s="13">
        <v>210389</v>
      </c>
      <c r="E80" s="83">
        <v>231083.93100000001</v>
      </c>
    </row>
    <row r="81" spans="1:5" x14ac:dyDescent="0.25">
      <c r="A81" s="41" t="s">
        <v>176</v>
      </c>
      <c r="B81" s="52" t="s">
        <v>177</v>
      </c>
      <c r="C81" s="13">
        <v>181223</v>
      </c>
      <c r="D81" s="13">
        <v>190812</v>
      </c>
      <c r="E81" s="83">
        <v>188115.15</v>
      </c>
    </row>
    <row r="82" spans="1:5" x14ac:dyDescent="0.25">
      <c r="A82" s="41" t="s">
        <v>876</v>
      </c>
      <c r="B82" s="52" t="s">
        <v>179</v>
      </c>
      <c r="C82" s="13">
        <v>597890</v>
      </c>
      <c r="D82" s="13">
        <v>684077</v>
      </c>
      <c r="E82" s="83">
        <v>613313.11100000003</v>
      </c>
    </row>
    <row r="83" spans="1:5" x14ac:dyDescent="0.25">
      <c r="A83" s="41" t="s">
        <v>180</v>
      </c>
      <c r="B83" s="52" t="s">
        <v>181</v>
      </c>
      <c r="C83" s="13">
        <v>18899</v>
      </c>
      <c r="D83" s="13">
        <v>19796</v>
      </c>
      <c r="E83" s="83">
        <v>13684.689</v>
      </c>
    </row>
    <row r="84" spans="1:5" x14ac:dyDescent="0.25">
      <c r="A84" s="41" t="s">
        <v>182</v>
      </c>
      <c r="B84" s="52" t="s">
        <v>183</v>
      </c>
      <c r="C84" s="13">
        <v>73859</v>
      </c>
      <c r="D84" s="13">
        <v>64274</v>
      </c>
      <c r="E84" s="83">
        <v>178683.64199999999</v>
      </c>
    </row>
    <row r="85" spans="1:5" x14ac:dyDescent="0.25">
      <c r="A85" s="41" t="s">
        <v>184</v>
      </c>
      <c r="B85" s="52" t="s">
        <v>185</v>
      </c>
      <c r="C85" s="13">
        <v>1172</v>
      </c>
      <c r="D85" s="13">
        <v>1076</v>
      </c>
      <c r="E85" s="83">
        <v>0</v>
      </c>
    </row>
    <row r="86" spans="1:5" s="84" customFormat="1" x14ac:dyDescent="0.25">
      <c r="A86" s="74" t="s">
        <v>186</v>
      </c>
      <c r="B86" s="75" t="s">
        <v>187</v>
      </c>
      <c r="C86" s="76">
        <v>1087761</v>
      </c>
      <c r="D86" s="76">
        <v>1170424</v>
      </c>
      <c r="E86" s="76">
        <v>1224880.523</v>
      </c>
    </row>
    <row r="87" spans="1:5" x14ac:dyDescent="0.25">
      <c r="A87" s="41" t="s">
        <v>188</v>
      </c>
      <c r="B87" s="52" t="s">
        <v>189</v>
      </c>
      <c r="C87" s="13"/>
      <c r="D87" s="13"/>
      <c r="E87" s="83">
        <v>0</v>
      </c>
    </row>
    <row r="88" spans="1:5" x14ac:dyDescent="0.25">
      <c r="A88" s="41" t="s">
        <v>574</v>
      </c>
      <c r="B88" s="52" t="s">
        <v>191</v>
      </c>
      <c r="C88" s="13"/>
      <c r="D88" s="13"/>
      <c r="E88" s="83">
        <v>0</v>
      </c>
    </row>
    <row r="89" spans="1:5" x14ac:dyDescent="0.25">
      <c r="A89" s="41" t="s">
        <v>575</v>
      </c>
      <c r="B89" s="52" t="s">
        <v>193</v>
      </c>
      <c r="C89" s="13"/>
      <c r="D89" s="13"/>
      <c r="E89" s="83">
        <v>0</v>
      </c>
    </row>
    <row r="90" spans="1:5" x14ac:dyDescent="0.25">
      <c r="A90" s="41" t="s">
        <v>576</v>
      </c>
      <c r="B90" s="52" t="s">
        <v>195</v>
      </c>
      <c r="C90" s="13"/>
      <c r="D90" s="13"/>
      <c r="E90" s="83">
        <v>0</v>
      </c>
    </row>
    <row r="91" spans="1:5" x14ac:dyDescent="0.25">
      <c r="A91" s="41" t="s">
        <v>196</v>
      </c>
      <c r="B91" s="52" t="s">
        <v>197</v>
      </c>
      <c r="C91" s="13">
        <v>1014698</v>
      </c>
      <c r="D91" s="13">
        <v>777684</v>
      </c>
      <c r="E91" s="83">
        <v>942759.66</v>
      </c>
    </row>
    <row r="92" spans="1:5" s="84" customFormat="1" x14ac:dyDescent="0.25">
      <c r="A92" s="74" t="s">
        <v>198</v>
      </c>
      <c r="B92" s="75" t="s">
        <v>199</v>
      </c>
      <c r="C92" s="76">
        <v>2102459</v>
      </c>
      <c r="D92" s="76">
        <v>1948108</v>
      </c>
      <c r="E92" s="76">
        <v>2167640.1830000002</v>
      </c>
    </row>
    <row r="93" spans="1:5" s="16" customFormat="1" x14ac:dyDescent="0.25">
      <c r="A93" s="44" t="s">
        <v>200</v>
      </c>
      <c r="B93" s="53" t="s">
        <v>201</v>
      </c>
      <c r="C93" s="14">
        <v>2102123</v>
      </c>
      <c r="D93" s="14">
        <v>219076</v>
      </c>
      <c r="E93" s="83">
        <v>1192909.621</v>
      </c>
    </row>
    <row r="94" spans="1:5" x14ac:dyDescent="0.25">
      <c r="A94" s="41" t="s">
        <v>202</v>
      </c>
      <c r="B94" s="52" t="s">
        <v>203</v>
      </c>
      <c r="C94" s="13"/>
      <c r="D94" s="13"/>
      <c r="E94" s="83">
        <v>0</v>
      </c>
    </row>
    <row r="95" spans="1:5" x14ac:dyDescent="0.25">
      <c r="A95" s="41" t="s">
        <v>204</v>
      </c>
      <c r="B95" s="52" t="s">
        <v>205</v>
      </c>
      <c r="C95" s="13"/>
      <c r="D95" s="13"/>
      <c r="E95" s="83">
        <v>0</v>
      </c>
    </row>
    <row r="96" spans="1:5" x14ac:dyDescent="0.25">
      <c r="A96" s="41" t="s">
        <v>206</v>
      </c>
      <c r="B96" s="52" t="s">
        <v>207</v>
      </c>
      <c r="C96" s="13"/>
      <c r="D96" s="13"/>
      <c r="E96" s="83">
        <v>0</v>
      </c>
    </row>
    <row r="97" spans="1:5" x14ac:dyDescent="0.25">
      <c r="A97" s="41" t="s">
        <v>208</v>
      </c>
      <c r="B97" s="52" t="s">
        <v>209</v>
      </c>
      <c r="C97" s="13">
        <v>113329</v>
      </c>
      <c r="D97" s="13">
        <v>125676</v>
      </c>
      <c r="E97" s="83">
        <v>122800</v>
      </c>
    </row>
    <row r="98" spans="1:5" x14ac:dyDescent="0.25">
      <c r="A98" s="41" t="s">
        <v>210</v>
      </c>
      <c r="B98" s="52" t="s">
        <v>211</v>
      </c>
      <c r="C98" s="13">
        <v>318751</v>
      </c>
      <c r="D98" s="13">
        <v>417393</v>
      </c>
      <c r="E98" s="83">
        <v>379000</v>
      </c>
    </row>
    <row r="99" spans="1:5" x14ac:dyDescent="0.25">
      <c r="A99" s="41" t="s">
        <v>212</v>
      </c>
      <c r="B99" s="52" t="s">
        <v>213</v>
      </c>
      <c r="C99" s="13">
        <v>699</v>
      </c>
      <c r="D99" s="13">
        <v>548</v>
      </c>
      <c r="E99" s="83">
        <v>500</v>
      </c>
    </row>
    <row r="100" spans="1:5" s="84" customFormat="1" x14ac:dyDescent="0.25">
      <c r="A100" s="74" t="s">
        <v>214</v>
      </c>
      <c r="B100" s="75" t="s">
        <v>215</v>
      </c>
      <c r="C100" s="76">
        <v>432779</v>
      </c>
      <c r="D100" s="76">
        <v>543617</v>
      </c>
      <c r="E100" s="76">
        <v>502300</v>
      </c>
    </row>
    <row r="101" spans="1:5" x14ac:dyDescent="0.25">
      <c r="A101" s="54" t="s">
        <v>577</v>
      </c>
      <c r="B101" s="52" t="s">
        <v>217</v>
      </c>
      <c r="C101" s="13">
        <v>794</v>
      </c>
      <c r="D101" s="13">
        <v>884</v>
      </c>
      <c r="E101" s="83">
        <v>1044</v>
      </c>
    </row>
    <row r="102" spans="1:5" x14ac:dyDescent="0.25">
      <c r="A102" s="54" t="s">
        <v>218</v>
      </c>
      <c r="B102" s="52" t="s">
        <v>219</v>
      </c>
      <c r="C102" s="13">
        <v>213014</v>
      </c>
      <c r="D102" s="13">
        <v>234348</v>
      </c>
      <c r="E102" s="83">
        <v>288073.26</v>
      </c>
    </row>
    <row r="103" spans="1:5" x14ac:dyDescent="0.25">
      <c r="A103" s="54" t="s">
        <v>220</v>
      </c>
      <c r="B103" s="52" t="s">
        <v>221</v>
      </c>
      <c r="C103" s="13">
        <v>6418</v>
      </c>
      <c r="D103" s="13">
        <v>1633</v>
      </c>
      <c r="E103" s="83">
        <v>321</v>
      </c>
    </row>
    <row r="104" spans="1:5" x14ac:dyDescent="0.25">
      <c r="A104" s="54" t="s">
        <v>222</v>
      </c>
      <c r="B104" s="52" t="s">
        <v>223</v>
      </c>
      <c r="C104" s="13">
        <v>27476</v>
      </c>
      <c r="D104" s="13">
        <v>24218</v>
      </c>
      <c r="E104" s="83">
        <v>944</v>
      </c>
    </row>
    <row r="105" spans="1:5" x14ac:dyDescent="0.25">
      <c r="A105" s="54" t="s">
        <v>224</v>
      </c>
      <c r="B105" s="52" t="s">
        <v>225</v>
      </c>
      <c r="C105" s="13">
        <v>154061</v>
      </c>
      <c r="D105" s="13">
        <v>160462</v>
      </c>
      <c r="E105" s="83">
        <v>180174.516</v>
      </c>
    </row>
    <row r="106" spans="1:5" x14ac:dyDescent="0.25">
      <c r="A106" s="54" t="s">
        <v>226</v>
      </c>
      <c r="B106" s="52" t="s">
        <v>227</v>
      </c>
      <c r="C106" s="13">
        <v>55106</v>
      </c>
      <c r="D106" s="13">
        <v>60097</v>
      </c>
      <c r="E106" s="83">
        <v>50686.955000000002</v>
      </c>
    </row>
    <row r="107" spans="1:5" x14ac:dyDescent="0.25">
      <c r="A107" s="54" t="s">
        <v>228</v>
      </c>
      <c r="B107" s="52" t="s">
        <v>229</v>
      </c>
      <c r="C107" s="13">
        <v>0</v>
      </c>
      <c r="D107" s="13">
        <v>0</v>
      </c>
      <c r="E107" s="83">
        <v>0</v>
      </c>
    </row>
    <row r="108" spans="1:5" x14ac:dyDescent="0.25">
      <c r="A108" s="54" t="s">
        <v>230</v>
      </c>
      <c r="B108" s="52" t="s">
        <v>231</v>
      </c>
      <c r="C108" s="13">
        <v>0</v>
      </c>
      <c r="D108" s="13">
        <v>0</v>
      </c>
      <c r="E108" s="83">
        <v>1</v>
      </c>
    </row>
    <row r="109" spans="1:5" x14ac:dyDescent="0.25">
      <c r="A109" s="54" t="s">
        <v>232</v>
      </c>
      <c r="B109" s="52" t="s">
        <v>233</v>
      </c>
      <c r="C109" s="13">
        <v>0</v>
      </c>
      <c r="D109" s="13">
        <v>0</v>
      </c>
      <c r="E109" s="83">
        <v>10</v>
      </c>
    </row>
    <row r="110" spans="1:5" x14ac:dyDescent="0.25">
      <c r="A110" s="54" t="s">
        <v>234</v>
      </c>
      <c r="B110" s="52" t="s">
        <v>235</v>
      </c>
      <c r="C110" s="13">
        <v>2526</v>
      </c>
      <c r="D110" s="13">
        <v>2000</v>
      </c>
      <c r="E110" s="83">
        <v>0</v>
      </c>
    </row>
    <row r="111" spans="1:5" x14ac:dyDescent="0.25">
      <c r="A111" s="54" t="s">
        <v>236</v>
      </c>
      <c r="B111" s="52" t="s">
        <v>237</v>
      </c>
      <c r="C111" s="13">
        <v>4239</v>
      </c>
      <c r="D111" s="13">
        <v>4829</v>
      </c>
      <c r="E111" s="83">
        <v>0</v>
      </c>
    </row>
    <row r="112" spans="1:5" s="84" customFormat="1" x14ac:dyDescent="0.25">
      <c r="A112" s="102" t="s">
        <v>238</v>
      </c>
      <c r="B112" s="75" t="s">
        <v>239</v>
      </c>
      <c r="C112" s="76">
        <v>463634</v>
      </c>
      <c r="D112" s="76">
        <v>488471</v>
      </c>
      <c r="E112" s="76">
        <v>521254.73100000003</v>
      </c>
    </row>
    <row r="113" spans="1:5" x14ac:dyDescent="0.25">
      <c r="A113" s="54" t="s">
        <v>240</v>
      </c>
      <c r="B113" s="52" t="s">
        <v>241</v>
      </c>
      <c r="C113" s="13"/>
      <c r="D113" s="13"/>
      <c r="E113" s="83">
        <v>0</v>
      </c>
    </row>
    <row r="114" spans="1:5" x14ac:dyDescent="0.25">
      <c r="A114" s="54" t="s">
        <v>242</v>
      </c>
      <c r="B114" s="52" t="s">
        <v>243</v>
      </c>
      <c r="C114" s="13">
        <v>51118</v>
      </c>
      <c r="D114" s="13">
        <v>29984</v>
      </c>
      <c r="E114" s="83">
        <v>64000</v>
      </c>
    </row>
    <row r="115" spans="1:5" x14ac:dyDescent="0.25">
      <c r="A115" s="54" t="s">
        <v>244</v>
      </c>
      <c r="B115" s="52" t="s">
        <v>245</v>
      </c>
      <c r="C115" s="13">
        <v>591</v>
      </c>
      <c r="D115" s="13">
        <v>355</v>
      </c>
      <c r="E115" s="83">
        <v>1700</v>
      </c>
    </row>
    <row r="116" spans="1:5" x14ac:dyDescent="0.25">
      <c r="A116" s="54" t="s">
        <v>246</v>
      </c>
      <c r="B116" s="52" t="s">
        <v>247</v>
      </c>
      <c r="C116" s="13">
        <v>0</v>
      </c>
      <c r="D116" s="13">
        <v>0</v>
      </c>
      <c r="E116" s="83">
        <v>0</v>
      </c>
    </row>
    <row r="117" spans="1:5" hidden="1" x14ac:dyDescent="0.25">
      <c r="A117" s="54" t="s">
        <v>248</v>
      </c>
      <c r="B117" s="52" t="s">
        <v>249</v>
      </c>
      <c r="C117" s="13"/>
      <c r="D117" s="13"/>
      <c r="E117" s="83">
        <v>0</v>
      </c>
    </row>
    <row r="118" spans="1:5" s="84" customFormat="1" x14ac:dyDescent="0.25">
      <c r="A118" s="74" t="s">
        <v>250</v>
      </c>
      <c r="B118" s="75" t="s">
        <v>251</v>
      </c>
      <c r="C118" s="76">
        <v>51709</v>
      </c>
      <c r="D118" s="76">
        <v>30339</v>
      </c>
      <c r="E118" s="76">
        <v>65700</v>
      </c>
    </row>
    <row r="119" spans="1:5" s="16" customFormat="1" x14ac:dyDescent="0.25">
      <c r="A119" s="44" t="s">
        <v>252</v>
      </c>
      <c r="B119" s="53" t="s">
        <v>253</v>
      </c>
      <c r="C119" s="14">
        <v>18127</v>
      </c>
      <c r="D119" s="14">
        <v>36492</v>
      </c>
      <c r="E119" s="83">
        <v>5434.5</v>
      </c>
    </row>
    <row r="120" spans="1:5" hidden="1" x14ac:dyDescent="0.25">
      <c r="A120" s="54" t="s">
        <v>578</v>
      </c>
      <c r="B120" s="52" t="s">
        <v>255</v>
      </c>
      <c r="C120" s="13"/>
      <c r="D120" s="13"/>
      <c r="E120" s="83">
        <v>0</v>
      </c>
    </row>
    <row r="121" spans="1:5" hidden="1" x14ac:dyDescent="0.25">
      <c r="A121" s="41" t="s">
        <v>580</v>
      </c>
      <c r="B121" s="52" t="s">
        <v>257</v>
      </c>
      <c r="C121" s="13"/>
      <c r="D121" s="13"/>
      <c r="E121" s="83">
        <v>0</v>
      </c>
    </row>
    <row r="122" spans="1:5" ht="31.5" hidden="1" x14ac:dyDescent="0.25">
      <c r="A122" s="54" t="s">
        <v>258</v>
      </c>
      <c r="B122" s="52" t="s">
        <v>259</v>
      </c>
      <c r="C122" s="13"/>
      <c r="D122" s="13"/>
      <c r="E122" s="83">
        <v>0</v>
      </c>
    </row>
    <row r="123" spans="1:5" x14ac:dyDescent="0.25">
      <c r="A123" s="54" t="s">
        <v>580</v>
      </c>
      <c r="B123" s="52" t="s">
        <v>261</v>
      </c>
      <c r="C123" s="13">
        <v>0</v>
      </c>
      <c r="D123" s="13">
        <v>20</v>
      </c>
      <c r="E123" s="83">
        <v>0</v>
      </c>
    </row>
    <row r="124" spans="1:5" x14ac:dyDescent="0.25">
      <c r="A124" s="54" t="s">
        <v>262</v>
      </c>
      <c r="B124" s="52" t="s">
        <v>263</v>
      </c>
      <c r="C124" s="13">
        <v>15282</v>
      </c>
      <c r="D124" s="13">
        <v>4076</v>
      </c>
      <c r="E124" s="83">
        <v>29400</v>
      </c>
    </row>
    <row r="125" spans="1:5" s="84" customFormat="1" x14ac:dyDescent="0.25">
      <c r="A125" s="74" t="s">
        <v>264</v>
      </c>
      <c r="B125" s="75" t="s">
        <v>265</v>
      </c>
      <c r="C125" s="76">
        <v>15282</v>
      </c>
      <c r="D125" s="76">
        <v>4096</v>
      </c>
      <c r="E125" s="76">
        <v>29400</v>
      </c>
    </row>
    <row r="126" spans="1:5" s="84" customFormat="1" x14ac:dyDescent="0.25">
      <c r="A126" s="102" t="s">
        <v>266</v>
      </c>
      <c r="B126" s="75" t="s">
        <v>267</v>
      </c>
      <c r="C126" s="76">
        <v>5186113</v>
      </c>
      <c r="D126" s="76">
        <v>3270199</v>
      </c>
      <c r="E126" s="76">
        <v>4484639.0350000001</v>
      </c>
    </row>
    <row r="127" spans="1:5" s="84" customFormat="1" x14ac:dyDescent="0.25">
      <c r="A127" s="537" t="s">
        <v>268</v>
      </c>
      <c r="B127" s="91"/>
      <c r="C127" s="92">
        <v>184056</v>
      </c>
      <c r="D127" s="92">
        <v>-11979</v>
      </c>
      <c r="E127" s="92">
        <v>-316444.29799999995</v>
      </c>
    </row>
    <row r="128" spans="1:5" s="84" customFormat="1" x14ac:dyDescent="0.25">
      <c r="A128" s="537" t="s">
        <v>269</v>
      </c>
      <c r="B128" s="91"/>
      <c r="C128" s="92">
        <v>1214570</v>
      </c>
      <c r="D128" s="92">
        <v>-909883</v>
      </c>
      <c r="E128" s="92">
        <v>-1211739.4009999998</v>
      </c>
    </row>
    <row r="129" spans="1:5" x14ac:dyDescent="0.25">
      <c r="A129" s="59" t="s">
        <v>270</v>
      </c>
      <c r="B129" s="41" t="s">
        <v>271</v>
      </c>
      <c r="C129" s="13"/>
      <c r="D129" s="13"/>
      <c r="E129" s="83">
        <v>0</v>
      </c>
    </row>
    <row r="130" spans="1:5" x14ac:dyDescent="0.25">
      <c r="A130" s="54" t="s">
        <v>692</v>
      </c>
      <c r="B130" s="41" t="s">
        <v>273</v>
      </c>
      <c r="C130" s="13"/>
      <c r="D130" s="13"/>
      <c r="E130" s="83">
        <v>0</v>
      </c>
    </row>
    <row r="131" spans="1:5" x14ac:dyDescent="0.25">
      <c r="A131" s="59" t="s">
        <v>274</v>
      </c>
      <c r="B131" s="41" t="s">
        <v>275</v>
      </c>
      <c r="C131" s="13">
        <v>73268</v>
      </c>
      <c r="D131" s="13">
        <v>43317</v>
      </c>
      <c r="E131" s="83">
        <v>88500</v>
      </c>
    </row>
    <row r="132" spans="1:5" s="84" customFormat="1" x14ac:dyDescent="0.25">
      <c r="A132" s="102" t="s">
        <v>695</v>
      </c>
      <c r="B132" s="74" t="s">
        <v>277</v>
      </c>
      <c r="C132" s="76">
        <v>73268</v>
      </c>
      <c r="D132" s="76">
        <v>43317</v>
      </c>
      <c r="E132" s="76">
        <v>88500</v>
      </c>
    </row>
    <row r="133" spans="1:5" hidden="1" x14ac:dyDescent="0.25">
      <c r="A133" s="54" t="s">
        <v>278</v>
      </c>
      <c r="B133" s="41" t="s">
        <v>279</v>
      </c>
      <c r="C133" s="13"/>
      <c r="D133" s="13"/>
      <c r="E133" s="83">
        <v>0</v>
      </c>
    </row>
    <row r="134" spans="1:5" hidden="1" x14ac:dyDescent="0.25">
      <c r="A134" s="59" t="s">
        <v>697</v>
      </c>
      <c r="B134" s="41" t="s">
        <v>281</v>
      </c>
      <c r="C134" s="13"/>
      <c r="D134" s="13"/>
      <c r="E134" s="83">
        <v>0</v>
      </c>
    </row>
    <row r="135" spans="1:5" hidden="1" x14ac:dyDescent="0.25">
      <c r="A135" s="54" t="s">
        <v>282</v>
      </c>
      <c r="B135" s="41" t="s">
        <v>283</v>
      </c>
      <c r="C135" s="13"/>
      <c r="D135" s="13"/>
      <c r="E135" s="83">
        <v>0</v>
      </c>
    </row>
    <row r="136" spans="1:5" hidden="1" x14ac:dyDescent="0.25">
      <c r="A136" s="59" t="s">
        <v>699</v>
      </c>
      <c r="B136" s="41" t="s">
        <v>285</v>
      </c>
      <c r="C136" s="13"/>
      <c r="D136" s="13"/>
      <c r="E136" s="83">
        <v>0</v>
      </c>
    </row>
    <row r="137" spans="1:5" s="84" customFormat="1" x14ac:dyDescent="0.25">
      <c r="A137" s="533" t="s">
        <v>286</v>
      </c>
      <c r="B137" s="74" t="s">
        <v>287</v>
      </c>
      <c r="C137" s="76">
        <v>0</v>
      </c>
      <c r="D137" s="76">
        <v>0</v>
      </c>
      <c r="E137" s="76">
        <v>0</v>
      </c>
    </row>
    <row r="138" spans="1:5" x14ac:dyDescent="0.25">
      <c r="A138" s="41" t="s">
        <v>288</v>
      </c>
      <c r="B138" s="41" t="s">
        <v>289</v>
      </c>
      <c r="C138" s="13">
        <v>300966</v>
      </c>
      <c r="D138" s="13">
        <v>379355</v>
      </c>
      <c r="E138" s="83">
        <v>304795.61499999999</v>
      </c>
    </row>
    <row r="139" spans="1:5" x14ac:dyDescent="0.25">
      <c r="A139" s="41" t="s">
        <v>290</v>
      </c>
      <c r="B139" s="41" t="s">
        <v>289</v>
      </c>
      <c r="C139" s="13">
        <v>937346</v>
      </c>
      <c r="D139" s="13">
        <v>2258173</v>
      </c>
      <c r="E139" s="83">
        <v>1264237.2039999999</v>
      </c>
    </row>
    <row r="140" spans="1:5" x14ac:dyDescent="0.25">
      <c r="A140" s="41" t="s">
        <v>291</v>
      </c>
      <c r="B140" s="41" t="s">
        <v>292</v>
      </c>
      <c r="C140" s="13"/>
      <c r="D140" s="13"/>
      <c r="E140" s="83">
        <v>0</v>
      </c>
    </row>
    <row r="141" spans="1:5" x14ac:dyDescent="0.25">
      <c r="A141" s="41" t="s">
        <v>293</v>
      </c>
      <c r="B141" s="41" t="s">
        <v>292</v>
      </c>
      <c r="C141" s="13"/>
      <c r="D141" s="13"/>
      <c r="E141" s="83">
        <v>0</v>
      </c>
    </row>
    <row r="142" spans="1:5" s="84" customFormat="1" x14ac:dyDescent="0.25">
      <c r="A142" s="74" t="s">
        <v>294</v>
      </c>
      <c r="B142" s="74" t="s">
        <v>295</v>
      </c>
      <c r="C142" s="76">
        <v>1238312</v>
      </c>
      <c r="D142" s="76">
        <v>2637528</v>
      </c>
      <c r="E142" s="76">
        <v>1569032.8189999999</v>
      </c>
    </row>
    <row r="143" spans="1:5" x14ac:dyDescent="0.25">
      <c r="A143" s="59" t="s">
        <v>296</v>
      </c>
      <c r="B143" s="41" t="s">
        <v>297</v>
      </c>
      <c r="C143" s="13">
        <v>36066</v>
      </c>
      <c r="D143" s="13">
        <v>40849</v>
      </c>
      <c r="E143" s="83">
        <v>0</v>
      </c>
    </row>
    <row r="144" spans="1:5" x14ac:dyDescent="0.25">
      <c r="A144" s="59" t="s">
        <v>298</v>
      </c>
      <c r="B144" s="41" t="s">
        <v>299</v>
      </c>
      <c r="C144" s="13"/>
      <c r="D144" s="13"/>
      <c r="E144" s="83">
        <v>0</v>
      </c>
    </row>
    <row r="145" spans="1:6" hidden="1" x14ac:dyDescent="0.25">
      <c r="A145" s="59" t="s">
        <v>300</v>
      </c>
      <c r="B145" s="41" t="s">
        <v>301</v>
      </c>
      <c r="C145" s="13"/>
      <c r="D145" s="13"/>
      <c r="E145" s="83">
        <v>0</v>
      </c>
    </row>
    <row r="146" spans="1:6" hidden="1" x14ac:dyDescent="0.25">
      <c r="A146" s="59" t="s">
        <v>700</v>
      </c>
      <c r="B146" s="41" t="s">
        <v>303</v>
      </c>
      <c r="C146" s="13"/>
      <c r="D146" s="13"/>
      <c r="E146" s="83">
        <v>0</v>
      </c>
    </row>
    <row r="147" spans="1:6" hidden="1" x14ac:dyDescent="0.25">
      <c r="A147" s="54" t="s">
        <v>304</v>
      </c>
      <c r="B147" s="41" t="s">
        <v>305</v>
      </c>
      <c r="C147" s="13"/>
      <c r="D147" s="13"/>
      <c r="E147" s="83">
        <v>0</v>
      </c>
    </row>
    <row r="148" spans="1:6" hidden="1" x14ac:dyDescent="0.25">
      <c r="A148" s="54" t="s">
        <v>306</v>
      </c>
      <c r="B148" s="41" t="s">
        <v>307</v>
      </c>
      <c r="C148" s="13"/>
      <c r="D148" s="13"/>
      <c r="E148" s="83">
        <v>0</v>
      </c>
    </row>
    <row r="149" spans="1:6" s="84" customFormat="1" x14ac:dyDescent="0.25">
      <c r="A149" s="102" t="s">
        <v>308</v>
      </c>
      <c r="B149" s="74" t="s">
        <v>309</v>
      </c>
      <c r="C149" s="76">
        <v>1347646</v>
      </c>
      <c r="D149" s="76">
        <v>2721694</v>
      </c>
      <c r="E149" s="76">
        <v>1657532.8189999999</v>
      </c>
    </row>
    <row r="150" spans="1:6" hidden="1" x14ac:dyDescent="0.25">
      <c r="A150" s="59" t="s">
        <v>310</v>
      </c>
      <c r="B150" s="41" t="s">
        <v>311</v>
      </c>
      <c r="C150" s="13"/>
      <c r="D150" s="13"/>
      <c r="E150" s="83">
        <v>0</v>
      </c>
    </row>
    <row r="151" spans="1:6" hidden="1" x14ac:dyDescent="0.25">
      <c r="A151" s="54" t="s">
        <v>312</v>
      </c>
      <c r="B151" s="41" t="s">
        <v>313</v>
      </c>
      <c r="C151" s="13"/>
      <c r="D151" s="13"/>
      <c r="E151" s="83">
        <v>0</v>
      </c>
    </row>
    <row r="152" spans="1:6" hidden="1" x14ac:dyDescent="0.25">
      <c r="A152" s="54" t="s">
        <v>314</v>
      </c>
      <c r="B152" s="41" t="s">
        <v>315</v>
      </c>
      <c r="C152" s="13"/>
      <c r="D152" s="13"/>
      <c r="E152" s="83">
        <v>0</v>
      </c>
    </row>
    <row r="153" spans="1:6" s="84" customFormat="1" x14ac:dyDescent="0.25">
      <c r="A153" s="533" t="s">
        <v>316</v>
      </c>
      <c r="B153" s="74" t="s">
        <v>317</v>
      </c>
      <c r="C153" s="76">
        <v>1347646</v>
      </c>
      <c r="D153" s="76">
        <v>2721694</v>
      </c>
      <c r="E153" s="76">
        <v>1657532.8189999999</v>
      </c>
    </row>
    <row r="154" spans="1:6" s="84" customFormat="1" x14ac:dyDescent="0.25">
      <c r="A154" s="536" t="s">
        <v>318</v>
      </c>
      <c r="B154" s="536" t="s">
        <v>319</v>
      </c>
      <c r="C154" s="76">
        <v>6533759</v>
      </c>
      <c r="D154" s="76">
        <v>5991893</v>
      </c>
      <c r="E154" s="76">
        <v>6142171.8540000003</v>
      </c>
    </row>
    <row r="155" spans="1:6" x14ac:dyDescent="0.25">
      <c r="C155" s="3">
        <v>2637529</v>
      </c>
      <c r="D155" s="3">
        <v>1720449</v>
      </c>
      <c r="E155" s="3">
        <v>0</v>
      </c>
      <c r="F155" s="3"/>
    </row>
    <row r="156" spans="1:6" x14ac:dyDescent="0.25">
      <c r="A156" s="70"/>
      <c r="C156" s="3"/>
      <c r="D156" s="3"/>
      <c r="E156" s="3"/>
    </row>
    <row r="157" spans="1:6" x14ac:dyDescent="0.25">
      <c r="C157" s="3"/>
    </row>
  </sheetData>
  <sheetProtection selectLockedCells="1" selectUnlockedCells="1"/>
  <mergeCells count="1">
    <mergeCell ref="A4:E4"/>
  </mergeCells>
  <printOptions horizontalCentered="1"/>
  <pageMargins left="0.70833333333333337" right="0.55000000000000004" top="0.51180555555555551" bottom="0.59097222222222223" header="0.51180555555555551" footer="0.31527777777777777"/>
  <pageSetup paperSize="9" scale="70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156"/>
  <sheetViews>
    <sheetView view="pageBreakPreview" topLeftCell="A103" zoomScale="80" zoomScaleSheetLayoutView="80" workbookViewId="0">
      <selection activeCell="A161" sqref="A161"/>
    </sheetView>
  </sheetViews>
  <sheetFormatPr defaultRowHeight="15" x14ac:dyDescent="0.25"/>
  <cols>
    <col min="1" max="1" width="76.28515625" customWidth="1"/>
    <col min="2" max="2" width="10.28515625" customWidth="1"/>
    <col min="3" max="3" width="12.140625" customWidth="1"/>
    <col min="4" max="4" width="12.85546875" style="228" customWidth="1"/>
    <col min="5" max="15" width="12.85546875" customWidth="1"/>
    <col min="16" max="16" width="15.5703125" style="543" customWidth="1"/>
    <col min="17" max="17" width="10.5703125" customWidth="1"/>
  </cols>
  <sheetData>
    <row r="1" spans="1:18" ht="15.75" x14ac:dyDescent="0.25">
      <c r="O1" s="4" t="s">
        <v>877</v>
      </c>
    </row>
    <row r="2" spans="1:18" ht="15.75" x14ac:dyDescent="0.25">
      <c r="O2" s="5" t="s">
        <v>808</v>
      </c>
    </row>
    <row r="3" spans="1:18" ht="18.75" x14ac:dyDescent="0.3">
      <c r="A3" s="538" t="s">
        <v>767</v>
      </c>
      <c r="B3" s="540"/>
      <c r="C3" s="540"/>
      <c r="D3" s="544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5"/>
    </row>
    <row r="4" spans="1:18" ht="15.75" x14ac:dyDescent="0.25">
      <c r="A4" s="546" t="s">
        <v>878</v>
      </c>
      <c r="B4" s="540"/>
      <c r="C4" s="540"/>
      <c r="D4" s="544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5"/>
    </row>
    <row r="6" spans="1:18" x14ac:dyDescent="0.25">
      <c r="A6" s="547"/>
    </row>
    <row r="7" spans="1:18" s="552" customFormat="1" ht="31.5" x14ac:dyDescent="0.25">
      <c r="A7" s="8" t="s">
        <v>8</v>
      </c>
      <c r="B7" s="539" t="s">
        <v>33</v>
      </c>
      <c r="C7" s="539" t="s">
        <v>515</v>
      </c>
      <c r="D7" s="548" t="s">
        <v>879</v>
      </c>
      <c r="E7" s="549" t="s">
        <v>880</v>
      </c>
      <c r="F7" s="549" t="s">
        <v>881</v>
      </c>
      <c r="G7" s="549" t="s">
        <v>882</v>
      </c>
      <c r="H7" s="549" t="s">
        <v>883</v>
      </c>
      <c r="I7" s="549" t="s">
        <v>884</v>
      </c>
      <c r="J7" s="549" t="s">
        <v>885</v>
      </c>
      <c r="K7" s="549" t="s">
        <v>886</v>
      </c>
      <c r="L7" s="549" t="s">
        <v>887</v>
      </c>
      <c r="M7" s="549" t="s">
        <v>888</v>
      </c>
      <c r="N7" s="549" t="s">
        <v>889</v>
      </c>
      <c r="O7" s="549" t="s">
        <v>890</v>
      </c>
      <c r="P7" s="550"/>
      <c r="Q7" s="551"/>
      <c r="R7" s="551"/>
    </row>
    <row r="8" spans="1:18" ht="15.75" x14ac:dyDescent="0.25">
      <c r="A8" s="39" t="s">
        <v>34</v>
      </c>
      <c r="B8" s="40" t="s">
        <v>35</v>
      </c>
      <c r="C8" s="553">
        <v>1606947</v>
      </c>
      <c r="D8" s="13">
        <f t="shared" ref="D8:N8" si="0">+ROUND($C$8/12,0)</f>
        <v>133912</v>
      </c>
      <c r="E8" s="13">
        <f t="shared" si="0"/>
        <v>133912</v>
      </c>
      <c r="F8" s="13">
        <f t="shared" si="0"/>
        <v>133912</v>
      </c>
      <c r="G8" s="13">
        <f t="shared" si="0"/>
        <v>133912</v>
      </c>
      <c r="H8" s="13">
        <f t="shared" si="0"/>
        <v>133912</v>
      </c>
      <c r="I8" s="13">
        <f t="shared" si="0"/>
        <v>133912</v>
      </c>
      <c r="J8" s="13">
        <f t="shared" si="0"/>
        <v>133912</v>
      </c>
      <c r="K8" s="13">
        <f t="shared" si="0"/>
        <v>133912</v>
      </c>
      <c r="L8" s="13">
        <f t="shared" si="0"/>
        <v>133912</v>
      </c>
      <c r="M8" s="13">
        <f t="shared" si="0"/>
        <v>133912</v>
      </c>
      <c r="N8" s="13">
        <f t="shared" si="0"/>
        <v>133912</v>
      </c>
      <c r="O8" s="13">
        <f>+ROUND($C$8/12,0)+3</f>
        <v>133915</v>
      </c>
      <c r="P8" s="554"/>
      <c r="Q8" s="555"/>
      <c r="R8" s="547"/>
    </row>
    <row r="9" spans="1:18" ht="15.75" x14ac:dyDescent="0.25">
      <c r="A9" s="41" t="s">
        <v>36</v>
      </c>
      <c r="B9" s="40" t="s">
        <v>37</v>
      </c>
      <c r="C9" s="553">
        <v>104069</v>
      </c>
      <c r="D9" s="13">
        <f t="shared" ref="D9:N9" si="1">+ROUND($C$9/12,0)</f>
        <v>8672</v>
      </c>
      <c r="E9" s="13">
        <f t="shared" si="1"/>
        <v>8672</v>
      </c>
      <c r="F9" s="13">
        <f t="shared" si="1"/>
        <v>8672</v>
      </c>
      <c r="G9" s="13">
        <f t="shared" si="1"/>
        <v>8672</v>
      </c>
      <c r="H9" s="13">
        <f t="shared" si="1"/>
        <v>8672</v>
      </c>
      <c r="I9" s="13">
        <f t="shared" si="1"/>
        <v>8672</v>
      </c>
      <c r="J9" s="13">
        <f t="shared" si="1"/>
        <v>8672</v>
      </c>
      <c r="K9" s="13">
        <f t="shared" si="1"/>
        <v>8672</v>
      </c>
      <c r="L9" s="13">
        <f t="shared" si="1"/>
        <v>8672</v>
      </c>
      <c r="M9" s="13">
        <f t="shared" si="1"/>
        <v>8672</v>
      </c>
      <c r="N9" s="13">
        <f t="shared" si="1"/>
        <v>8672</v>
      </c>
      <c r="O9" s="13">
        <f>+ROUND($C$9/12,0)+5</f>
        <v>8677</v>
      </c>
      <c r="P9" s="554"/>
      <c r="Q9" s="555"/>
      <c r="R9" s="547"/>
    </row>
    <row r="10" spans="1:18" s="558" customFormat="1" ht="15.75" x14ac:dyDescent="0.25">
      <c r="A10" s="529" t="s">
        <v>38</v>
      </c>
      <c r="B10" s="530" t="s">
        <v>39</v>
      </c>
      <c r="C10" s="76">
        <v>1711016</v>
      </c>
      <c r="D10" s="76">
        <f t="shared" ref="D10:O10" si="2">SUM(D8:D9)</f>
        <v>142584</v>
      </c>
      <c r="E10" s="76">
        <f t="shared" si="2"/>
        <v>142584</v>
      </c>
      <c r="F10" s="76">
        <f t="shared" si="2"/>
        <v>142584</v>
      </c>
      <c r="G10" s="76">
        <f t="shared" si="2"/>
        <v>142584</v>
      </c>
      <c r="H10" s="76">
        <f t="shared" si="2"/>
        <v>142584</v>
      </c>
      <c r="I10" s="76">
        <f t="shared" si="2"/>
        <v>142584</v>
      </c>
      <c r="J10" s="76">
        <f t="shared" si="2"/>
        <v>142584</v>
      </c>
      <c r="K10" s="76">
        <f t="shared" si="2"/>
        <v>142584</v>
      </c>
      <c r="L10" s="76">
        <f t="shared" si="2"/>
        <v>142584</v>
      </c>
      <c r="M10" s="76">
        <f t="shared" si="2"/>
        <v>142584</v>
      </c>
      <c r="N10" s="76">
        <f t="shared" si="2"/>
        <v>142584</v>
      </c>
      <c r="O10" s="76">
        <f t="shared" si="2"/>
        <v>142592</v>
      </c>
      <c r="P10" s="554"/>
      <c r="Q10" s="556"/>
      <c r="R10" s="557"/>
    </row>
    <row r="11" spans="1:18" ht="15.75" x14ac:dyDescent="0.25">
      <c r="A11" s="44" t="s">
        <v>891</v>
      </c>
      <c r="B11" s="43" t="s">
        <v>41</v>
      </c>
      <c r="C11" s="553">
        <v>304033</v>
      </c>
      <c r="D11" s="13">
        <f t="shared" ref="D11:N11" si="3">+ROUND($C$11/12,0)</f>
        <v>25336</v>
      </c>
      <c r="E11" s="13">
        <f t="shared" si="3"/>
        <v>25336</v>
      </c>
      <c r="F11" s="13">
        <f t="shared" si="3"/>
        <v>25336</v>
      </c>
      <c r="G11" s="13">
        <f t="shared" si="3"/>
        <v>25336</v>
      </c>
      <c r="H11" s="13">
        <f t="shared" si="3"/>
        <v>25336</v>
      </c>
      <c r="I11" s="13">
        <f t="shared" si="3"/>
        <v>25336</v>
      </c>
      <c r="J11" s="13">
        <f t="shared" si="3"/>
        <v>25336</v>
      </c>
      <c r="K11" s="13">
        <f t="shared" si="3"/>
        <v>25336</v>
      </c>
      <c r="L11" s="13">
        <f t="shared" si="3"/>
        <v>25336</v>
      </c>
      <c r="M11" s="13">
        <f t="shared" si="3"/>
        <v>25336</v>
      </c>
      <c r="N11" s="13">
        <f t="shared" si="3"/>
        <v>25336</v>
      </c>
      <c r="O11" s="13">
        <f>+ROUND($C$11/12,0)+1</f>
        <v>25337</v>
      </c>
      <c r="P11" s="554"/>
      <c r="Q11" s="555"/>
      <c r="R11" s="547"/>
    </row>
    <row r="12" spans="1:18" ht="15.75" x14ac:dyDescent="0.25">
      <c r="A12" s="41" t="s">
        <v>42</v>
      </c>
      <c r="B12" s="40" t="s">
        <v>43</v>
      </c>
      <c r="C12" s="553">
        <v>286311</v>
      </c>
      <c r="D12" s="13">
        <f t="shared" ref="D12:N12" si="4">+ROUND($C$12/12,0)</f>
        <v>23859</v>
      </c>
      <c r="E12" s="13">
        <f t="shared" si="4"/>
        <v>23859</v>
      </c>
      <c r="F12" s="13">
        <f t="shared" si="4"/>
        <v>23859</v>
      </c>
      <c r="G12" s="13">
        <f t="shared" si="4"/>
        <v>23859</v>
      </c>
      <c r="H12" s="13">
        <f t="shared" si="4"/>
        <v>23859</v>
      </c>
      <c r="I12" s="13">
        <f t="shared" si="4"/>
        <v>23859</v>
      </c>
      <c r="J12" s="13">
        <f t="shared" si="4"/>
        <v>23859</v>
      </c>
      <c r="K12" s="13">
        <f t="shared" si="4"/>
        <v>23859</v>
      </c>
      <c r="L12" s="13">
        <f t="shared" si="4"/>
        <v>23859</v>
      </c>
      <c r="M12" s="13">
        <f t="shared" si="4"/>
        <v>23859</v>
      </c>
      <c r="N12" s="13">
        <f t="shared" si="4"/>
        <v>23859</v>
      </c>
      <c r="O12" s="13">
        <f>+ROUND($C$12/12,0)+3</f>
        <v>23862</v>
      </c>
      <c r="P12" s="554"/>
      <c r="Q12" s="555"/>
      <c r="R12" s="547"/>
    </row>
    <row r="13" spans="1:18" ht="15.75" x14ac:dyDescent="0.25">
      <c r="A13" s="41" t="s">
        <v>44</v>
      </c>
      <c r="B13" s="40" t="s">
        <v>45</v>
      </c>
      <c r="C13" s="553">
        <v>14319</v>
      </c>
      <c r="D13" s="13">
        <f t="shared" ref="D13:N13" si="5">+ROUND($C$13/12,0)</f>
        <v>1193</v>
      </c>
      <c r="E13" s="13">
        <f t="shared" si="5"/>
        <v>1193</v>
      </c>
      <c r="F13" s="13">
        <f t="shared" si="5"/>
        <v>1193</v>
      </c>
      <c r="G13" s="13">
        <f t="shared" si="5"/>
        <v>1193</v>
      </c>
      <c r="H13" s="13">
        <f t="shared" si="5"/>
        <v>1193</v>
      </c>
      <c r="I13" s="13">
        <f t="shared" si="5"/>
        <v>1193</v>
      </c>
      <c r="J13" s="13">
        <f t="shared" si="5"/>
        <v>1193</v>
      </c>
      <c r="K13" s="13">
        <f t="shared" si="5"/>
        <v>1193</v>
      </c>
      <c r="L13" s="13">
        <f t="shared" si="5"/>
        <v>1193</v>
      </c>
      <c r="M13" s="13">
        <f t="shared" si="5"/>
        <v>1193</v>
      </c>
      <c r="N13" s="13">
        <f t="shared" si="5"/>
        <v>1193</v>
      </c>
      <c r="O13" s="13">
        <f>+ROUND($C$13/12,0)+3</f>
        <v>1196</v>
      </c>
      <c r="P13" s="554"/>
      <c r="Q13" s="555"/>
      <c r="R13" s="547"/>
    </row>
    <row r="14" spans="1:18" ht="15.75" x14ac:dyDescent="0.25">
      <c r="A14" s="41" t="s">
        <v>46</v>
      </c>
      <c r="B14" s="40" t="s">
        <v>47</v>
      </c>
      <c r="C14" s="553">
        <v>701955</v>
      </c>
      <c r="D14" s="13">
        <f t="shared" ref="D14:N14" si="6">+ROUND($C$14/12,0)</f>
        <v>58496</v>
      </c>
      <c r="E14" s="13">
        <f t="shared" si="6"/>
        <v>58496</v>
      </c>
      <c r="F14" s="13">
        <f t="shared" si="6"/>
        <v>58496</v>
      </c>
      <c r="G14" s="13">
        <f t="shared" si="6"/>
        <v>58496</v>
      </c>
      <c r="H14" s="13">
        <f t="shared" si="6"/>
        <v>58496</v>
      </c>
      <c r="I14" s="13">
        <f t="shared" si="6"/>
        <v>58496</v>
      </c>
      <c r="J14" s="13">
        <f t="shared" si="6"/>
        <v>58496</v>
      </c>
      <c r="K14" s="13">
        <f t="shared" si="6"/>
        <v>58496</v>
      </c>
      <c r="L14" s="13">
        <f t="shared" si="6"/>
        <v>58496</v>
      </c>
      <c r="M14" s="13">
        <f t="shared" si="6"/>
        <v>58496</v>
      </c>
      <c r="N14" s="13">
        <f t="shared" si="6"/>
        <v>58496</v>
      </c>
      <c r="O14" s="13">
        <f>+ROUND($C$14/12,0)+3</f>
        <v>58499</v>
      </c>
      <c r="P14" s="554"/>
      <c r="Q14" s="555"/>
      <c r="R14" s="547"/>
    </row>
    <row r="15" spans="1:18" ht="15.75" x14ac:dyDescent="0.25">
      <c r="A15" s="41" t="s">
        <v>48</v>
      </c>
      <c r="B15" s="40" t="s">
        <v>49</v>
      </c>
      <c r="C15" s="553">
        <v>48968</v>
      </c>
      <c r="D15" s="13">
        <f t="shared" ref="D15:N15" si="7">+ROUND($C$15/12,0)</f>
        <v>4081</v>
      </c>
      <c r="E15" s="13">
        <f t="shared" si="7"/>
        <v>4081</v>
      </c>
      <c r="F15" s="13">
        <f t="shared" si="7"/>
        <v>4081</v>
      </c>
      <c r="G15" s="13">
        <f t="shared" si="7"/>
        <v>4081</v>
      </c>
      <c r="H15" s="13">
        <f t="shared" si="7"/>
        <v>4081</v>
      </c>
      <c r="I15" s="13">
        <f t="shared" si="7"/>
        <v>4081</v>
      </c>
      <c r="J15" s="13">
        <f t="shared" si="7"/>
        <v>4081</v>
      </c>
      <c r="K15" s="13">
        <f t="shared" si="7"/>
        <v>4081</v>
      </c>
      <c r="L15" s="13">
        <f t="shared" si="7"/>
        <v>4081</v>
      </c>
      <c r="M15" s="13">
        <f t="shared" si="7"/>
        <v>4081</v>
      </c>
      <c r="N15" s="13">
        <f t="shared" si="7"/>
        <v>4081</v>
      </c>
      <c r="O15" s="13">
        <f>+ROUND($C$15/12,0)-4</f>
        <v>4077</v>
      </c>
      <c r="P15" s="554"/>
      <c r="Q15" s="555"/>
      <c r="R15" s="547"/>
    </row>
    <row r="16" spans="1:18" ht="15.75" x14ac:dyDescent="0.25">
      <c r="A16" s="41" t="s">
        <v>50</v>
      </c>
      <c r="B16" s="40" t="s">
        <v>51</v>
      </c>
      <c r="C16" s="553">
        <v>285490</v>
      </c>
      <c r="D16" s="13">
        <f t="shared" ref="D16:N16" si="8">+ROUND($C$16/12,0)</f>
        <v>23791</v>
      </c>
      <c r="E16" s="13">
        <f t="shared" si="8"/>
        <v>23791</v>
      </c>
      <c r="F16" s="13">
        <f t="shared" si="8"/>
        <v>23791</v>
      </c>
      <c r="G16" s="13">
        <f t="shared" si="8"/>
        <v>23791</v>
      </c>
      <c r="H16" s="13">
        <f t="shared" si="8"/>
        <v>23791</v>
      </c>
      <c r="I16" s="13">
        <f t="shared" si="8"/>
        <v>23791</v>
      </c>
      <c r="J16" s="13">
        <f t="shared" si="8"/>
        <v>23791</v>
      </c>
      <c r="K16" s="13">
        <f t="shared" si="8"/>
        <v>23791</v>
      </c>
      <c r="L16" s="13">
        <f t="shared" si="8"/>
        <v>23791</v>
      </c>
      <c r="M16" s="13">
        <f t="shared" si="8"/>
        <v>23791</v>
      </c>
      <c r="N16" s="13">
        <f t="shared" si="8"/>
        <v>23791</v>
      </c>
      <c r="O16" s="13">
        <f>+ROUND($C$16/12,0)-2</f>
        <v>23789</v>
      </c>
      <c r="P16" s="554"/>
      <c r="Q16" s="555"/>
      <c r="R16" s="547"/>
    </row>
    <row r="17" spans="1:18" s="558" customFormat="1" ht="15.75" x14ac:dyDescent="0.25">
      <c r="A17" s="74" t="s">
        <v>52</v>
      </c>
      <c r="B17" s="530" t="s">
        <v>53</v>
      </c>
      <c r="C17" s="76">
        <v>1337043</v>
      </c>
      <c r="D17" s="76">
        <f t="shared" ref="D17:O17" si="9">SUM(D12:D16)</f>
        <v>111420</v>
      </c>
      <c r="E17" s="76">
        <f t="shared" si="9"/>
        <v>111420</v>
      </c>
      <c r="F17" s="76">
        <f t="shared" si="9"/>
        <v>111420</v>
      </c>
      <c r="G17" s="76">
        <f t="shared" si="9"/>
        <v>111420</v>
      </c>
      <c r="H17" s="76">
        <f t="shared" si="9"/>
        <v>111420</v>
      </c>
      <c r="I17" s="76">
        <f t="shared" si="9"/>
        <v>111420</v>
      </c>
      <c r="J17" s="76">
        <f t="shared" si="9"/>
        <v>111420</v>
      </c>
      <c r="K17" s="76">
        <f t="shared" si="9"/>
        <v>111420</v>
      </c>
      <c r="L17" s="76">
        <f t="shared" si="9"/>
        <v>111420</v>
      </c>
      <c r="M17" s="76">
        <f t="shared" si="9"/>
        <v>111420</v>
      </c>
      <c r="N17" s="76">
        <f t="shared" si="9"/>
        <v>111420</v>
      </c>
      <c r="O17" s="76">
        <f t="shared" si="9"/>
        <v>111423</v>
      </c>
      <c r="P17" s="554"/>
      <c r="Q17" s="556"/>
      <c r="R17" s="557"/>
    </row>
    <row r="18" spans="1:18" ht="15.75" x14ac:dyDescent="0.25">
      <c r="A18" s="45" t="s">
        <v>54</v>
      </c>
      <c r="B18" s="43" t="s">
        <v>55</v>
      </c>
      <c r="C18" s="553">
        <v>60000</v>
      </c>
      <c r="D18" s="13">
        <f t="shared" ref="D18:N18" si="10">+ROUND($C$18/12,0)</f>
        <v>5000</v>
      </c>
      <c r="E18" s="13">
        <f t="shared" si="10"/>
        <v>5000</v>
      </c>
      <c r="F18" s="13">
        <f t="shared" si="10"/>
        <v>5000</v>
      </c>
      <c r="G18" s="13">
        <f t="shared" si="10"/>
        <v>5000</v>
      </c>
      <c r="H18" s="13">
        <f t="shared" si="10"/>
        <v>5000</v>
      </c>
      <c r="I18" s="13">
        <f t="shared" si="10"/>
        <v>5000</v>
      </c>
      <c r="J18" s="13">
        <f t="shared" si="10"/>
        <v>5000</v>
      </c>
      <c r="K18" s="13">
        <f t="shared" si="10"/>
        <v>5000</v>
      </c>
      <c r="L18" s="13">
        <f t="shared" si="10"/>
        <v>5000</v>
      </c>
      <c r="M18" s="13">
        <f t="shared" si="10"/>
        <v>5000</v>
      </c>
      <c r="N18" s="13">
        <f t="shared" si="10"/>
        <v>5000</v>
      </c>
      <c r="O18" s="13">
        <f>+ROUND($C$18/12,0)</f>
        <v>5000</v>
      </c>
      <c r="P18" s="554"/>
      <c r="Q18" s="555"/>
      <c r="R18" s="547"/>
    </row>
    <row r="19" spans="1:18" ht="15.75" x14ac:dyDescent="0.25">
      <c r="A19" s="46" t="s">
        <v>56</v>
      </c>
      <c r="B19" s="40" t="s">
        <v>57</v>
      </c>
      <c r="C19" s="553">
        <v>0</v>
      </c>
      <c r="D19" s="13">
        <f t="shared" ref="D19:O19" si="11">+ROUND($C$19/12,0)</f>
        <v>0</v>
      </c>
      <c r="E19" s="13">
        <f t="shared" si="11"/>
        <v>0</v>
      </c>
      <c r="F19" s="13">
        <f t="shared" si="11"/>
        <v>0</v>
      </c>
      <c r="G19" s="13">
        <f t="shared" si="11"/>
        <v>0</v>
      </c>
      <c r="H19" s="13">
        <f t="shared" si="11"/>
        <v>0</v>
      </c>
      <c r="I19" s="13">
        <f t="shared" si="11"/>
        <v>0</v>
      </c>
      <c r="J19" s="13">
        <f t="shared" si="11"/>
        <v>0</v>
      </c>
      <c r="K19" s="13">
        <f t="shared" si="11"/>
        <v>0</v>
      </c>
      <c r="L19" s="13">
        <f t="shared" si="11"/>
        <v>0</v>
      </c>
      <c r="M19" s="13">
        <f t="shared" si="11"/>
        <v>0</v>
      </c>
      <c r="N19" s="13">
        <f t="shared" si="11"/>
        <v>0</v>
      </c>
      <c r="O19" s="13">
        <f t="shared" si="11"/>
        <v>0</v>
      </c>
      <c r="P19" s="554"/>
      <c r="Q19" s="555"/>
      <c r="R19" s="547"/>
    </row>
    <row r="20" spans="1:18" ht="15.75" x14ac:dyDescent="0.25">
      <c r="A20" s="46" t="s">
        <v>58</v>
      </c>
      <c r="B20" s="40" t="s">
        <v>59</v>
      </c>
      <c r="C20" s="553">
        <v>10435</v>
      </c>
      <c r="D20" s="13">
        <v>4000</v>
      </c>
      <c r="E20" s="13">
        <v>5435</v>
      </c>
      <c r="F20" s="13">
        <v>0</v>
      </c>
      <c r="G20" s="13">
        <v>1000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554"/>
      <c r="Q20" s="555"/>
      <c r="R20" s="547"/>
    </row>
    <row r="21" spans="1:18" ht="15.75" x14ac:dyDescent="0.25">
      <c r="A21" s="46" t="s">
        <v>60</v>
      </c>
      <c r="B21" s="40" t="s">
        <v>61</v>
      </c>
      <c r="C21" s="553">
        <v>0</v>
      </c>
      <c r="D21" s="13">
        <f t="shared" ref="D21:O21" si="12">+ROUND($C$21/12,0)</f>
        <v>0</v>
      </c>
      <c r="E21" s="13">
        <f t="shared" si="12"/>
        <v>0</v>
      </c>
      <c r="F21" s="13">
        <f t="shared" si="12"/>
        <v>0</v>
      </c>
      <c r="G21" s="13">
        <f t="shared" si="12"/>
        <v>0</v>
      </c>
      <c r="H21" s="13">
        <f t="shared" si="12"/>
        <v>0</v>
      </c>
      <c r="I21" s="13">
        <f t="shared" si="12"/>
        <v>0</v>
      </c>
      <c r="J21" s="13">
        <f t="shared" si="12"/>
        <v>0</v>
      </c>
      <c r="K21" s="13">
        <f t="shared" si="12"/>
        <v>0</v>
      </c>
      <c r="L21" s="13">
        <f t="shared" si="12"/>
        <v>0</v>
      </c>
      <c r="M21" s="13">
        <f t="shared" si="12"/>
        <v>0</v>
      </c>
      <c r="N21" s="13">
        <f t="shared" si="12"/>
        <v>0</v>
      </c>
      <c r="O21" s="13">
        <f t="shared" si="12"/>
        <v>0</v>
      </c>
      <c r="P21" s="554"/>
      <c r="Q21" s="555"/>
      <c r="R21" s="547"/>
    </row>
    <row r="22" spans="1:18" ht="15.75" x14ac:dyDescent="0.25">
      <c r="A22" s="46" t="s">
        <v>62</v>
      </c>
      <c r="B22" s="40" t="s">
        <v>63</v>
      </c>
      <c r="C22" s="553">
        <v>0</v>
      </c>
      <c r="D22" s="13">
        <f t="shared" ref="D22:O22" si="13">+ROUND($C$22/12,0)</f>
        <v>0</v>
      </c>
      <c r="E22" s="13">
        <f t="shared" si="13"/>
        <v>0</v>
      </c>
      <c r="F22" s="13">
        <f t="shared" si="13"/>
        <v>0</v>
      </c>
      <c r="G22" s="13">
        <f t="shared" si="13"/>
        <v>0</v>
      </c>
      <c r="H22" s="13">
        <f t="shared" si="13"/>
        <v>0</v>
      </c>
      <c r="I22" s="13">
        <f t="shared" si="13"/>
        <v>0</v>
      </c>
      <c r="J22" s="13">
        <f t="shared" si="13"/>
        <v>0</v>
      </c>
      <c r="K22" s="13">
        <f t="shared" si="13"/>
        <v>0</v>
      </c>
      <c r="L22" s="13">
        <f t="shared" si="13"/>
        <v>0</v>
      </c>
      <c r="M22" s="13">
        <f t="shared" si="13"/>
        <v>0</v>
      </c>
      <c r="N22" s="13">
        <f t="shared" si="13"/>
        <v>0</v>
      </c>
      <c r="O22" s="13">
        <f t="shared" si="13"/>
        <v>0</v>
      </c>
      <c r="P22" s="554"/>
      <c r="Q22" s="555"/>
      <c r="R22" s="547"/>
    </row>
    <row r="23" spans="1:18" ht="15.75" x14ac:dyDescent="0.25">
      <c r="A23" s="46" t="s">
        <v>587</v>
      </c>
      <c r="B23" s="40" t="s">
        <v>65</v>
      </c>
      <c r="C23" s="553">
        <v>0</v>
      </c>
      <c r="D23" s="13">
        <f t="shared" ref="D23:O23" si="14">+ROUND($C$23/12,0)</f>
        <v>0</v>
      </c>
      <c r="E23" s="13">
        <f t="shared" si="14"/>
        <v>0</v>
      </c>
      <c r="F23" s="13">
        <f t="shared" si="14"/>
        <v>0</v>
      </c>
      <c r="G23" s="13">
        <f t="shared" si="14"/>
        <v>0</v>
      </c>
      <c r="H23" s="13">
        <f t="shared" si="14"/>
        <v>0</v>
      </c>
      <c r="I23" s="13">
        <f t="shared" si="14"/>
        <v>0</v>
      </c>
      <c r="J23" s="13">
        <f t="shared" si="14"/>
        <v>0</v>
      </c>
      <c r="K23" s="13">
        <f t="shared" si="14"/>
        <v>0</v>
      </c>
      <c r="L23" s="13">
        <f t="shared" si="14"/>
        <v>0</v>
      </c>
      <c r="M23" s="13">
        <f t="shared" si="14"/>
        <v>0</v>
      </c>
      <c r="N23" s="13">
        <f t="shared" si="14"/>
        <v>0</v>
      </c>
      <c r="O23" s="13">
        <f t="shared" si="14"/>
        <v>0</v>
      </c>
      <c r="P23" s="554"/>
      <c r="Q23" s="555"/>
      <c r="R23" s="547"/>
    </row>
    <row r="24" spans="1:18" ht="15.75" x14ac:dyDescent="0.25">
      <c r="A24" s="46" t="s">
        <v>66</v>
      </c>
      <c r="B24" s="40" t="s">
        <v>67</v>
      </c>
      <c r="C24" s="553">
        <v>9555</v>
      </c>
      <c r="D24" s="13">
        <f t="shared" ref="D24:N24" si="15">+ROUND($C$24/12,0)</f>
        <v>796</v>
      </c>
      <c r="E24" s="13">
        <f t="shared" si="15"/>
        <v>796</v>
      </c>
      <c r="F24" s="13">
        <f t="shared" si="15"/>
        <v>796</v>
      </c>
      <c r="G24" s="13">
        <f t="shared" si="15"/>
        <v>796</v>
      </c>
      <c r="H24" s="13">
        <f t="shared" si="15"/>
        <v>796</v>
      </c>
      <c r="I24" s="13">
        <f t="shared" si="15"/>
        <v>796</v>
      </c>
      <c r="J24" s="13">
        <f t="shared" si="15"/>
        <v>796</v>
      </c>
      <c r="K24" s="13">
        <f t="shared" si="15"/>
        <v>796</v>
      </c>
      <c r="L24" s="13">
        <f t="shared" si="15"/>
        <v>796</v>
      </c>
      <c r="M24" s="13">
        <f t="shared" si="15"/>
        <v>796</v>
      </c>
      <c r="N24" s="13">
        <f t="shared" si="15"/>
        <v>796</v>
      </c>
      <c r="O24" s="13">
        <f>+ROUND($C$24/12,0)+3</f>
        <v>799</v>
      </c>
      <c r="P24" s="554"/>
      <c r="Q24" s="555"/>
      <c r="R24" s="547"/>
    </row>
    <row r="25" spans="1:18" ht="15.75" x14ac:dyDescent="0.25">
      <c r="A25" s="46" t="s">
        <v>68</v>
      </c>
      <c r="B25" s="40" t="s">
        <v>69</v>
      </c>
      <c r="C25" s="553">
        <v>0</v>
      </c>
      <c r="D25" s="13">
        <f t="shared" ref="D25:O25" si="16">+ROUND($C$25/12,0)</f>
        <v>0</v>
      </c>
      <c r="E25" s="13">
        <f t="shared" si="16"/>
        <v>0</v>
      </c>
      <c r="F25" s="13">
        <f t="shared" si="16"/>
        <v>0</v>
      </c>
      <c r="G25" s="13">
        <f t="shared" si="16"/>
        <v>0</v>
      </c>
      <c r="H25" s="13">
        <f t="shared" si="16"/>
        <v>0</v>
      </c>
      <c r="I25" s="13">
        <f t="shared" si="16"/>
        <v>0</v>
      </c>
      <c r="J25" s="13">
        <f t="shared" si="16"/>
        <v>0</v>
      </c>
      <c r="K25" s="13">
        <f t="shared" si="16"/>
        <v>0</v>
      </c>
      <c r="L25" s="13">
        <f t="shared" si="16"/>
        <v>0</v>
      </c>
      <c r="M25" s="13">
        <f t="shared" si="16"/>
        <v>0</v>
      </c>
      <c r="N25" s="13">
        <f t="shared" si="16"/>
        <v>0</v>
      </c>
      <c r="O25" s="13">
        <f t="shared" si="16"/>
        <v>0</v>
      </c>
      <c r="P25" s="554"/>
      <c r="Q25" s="555"/>
      <c r="R25" s="547"/>
    </row>
    <row r="26" spans="1:18" ht="15.75" x14ac:dyDescent="0.25">
      <c r="A26" s="46" t="s">
        <v>70</v>
      </c>
      <c r="B26" s="40" t="s">
        <v>71</v>
      </c>
      <c r="C26" s="553">
        <v>0</v>
      </c>
      <c r="D26" s="13">
        <f t="shared" ref="D26:O26" si="17">+ROUND($C$26/12,0)</f>
        <v>0</v>
      </c>
      <c r="E26" s="13">
        <f t="shared" si="17"/>
        <v>0</v>
      </c>
      <c r="F26" s="13">
        <f t="shared" si="17"/>
        <v>0</v>
      </c>
      <c r="G26" s="13">
        <f t="shared" si="17"/>
        <v>0</v>
      </c>
      <c r="H26" s="13">
        <f t="shared" si="17"/>
        <v>0</v>
      </c>
      <c r="I26" s="13">
        <f t="shared" si="17"/>
        <v>0</v>
      </c>
      <c r="J26" s="13">
        <f t="shared" si="17"/>
        <v>0</v>
      </c>
      <c r="K26" s="13">
        <f t="shared" si="17"/>
        <v>0</v>
      </c>
      <c r="L26" s="13">
        <f t="shared" si="17"/>
        <v>0</v>
      </c>
      <c r="M26" s="13">
        <f t="shared" si="17"/>
        <v>0</v>
      </c>
      <c r="N26" s="13">
        <f t="shared" si="17"/>
        <v>0</v>
      </c>
      <c r="O26" s="13">
        <f t="shared" si="17"/>
        <v>0</v>
      </c>
      <c r="P26" s="554"/>
      <c r="Q26" s="555"/>
      <c r="R26" s="547"/>
    </row>
    <row r="27" spans="1:18" ht="15.75" x14ac:dyDescent="0.25">
      <c r="A27" s="46" t="s">
        <v>72</v>
      </c>
      <c r="B27" s="40" t="s">
        <v>73</v>
      </c>
      <c r="C27" s="553">
        <v>0</v>
      </c>
      <c r="D27" s="13">
        <f t="shared" ref="D27:O27" si="18">+ROUND($C$27/12,0)</f>
        <v>0</v>
      </c>
      <c r="E27" s="13">
        <f t="shared" si="18"/>
        <v>0</v>
      </c>
      <c r="F27" s="13">
        <f t="shared" si="18"/>
        <v>0</v>
      </c>
      <c r="G27" s="13">
        <f t="shared" si="18"/>
        <v>0</v>
      </c>
      <c r="H27" s="13">
        <f t="shared" si="18"/>
        <v>0</v>
      </c>
      <c r="I27" s="13">
        <f t="shared" si="18"/>
        <v>0</v>
      </c>
      <c r="J27" s="13">
        <f t="shared" si="18"/>
        <v>0</v>
      </c>
      <c r="K27" s="13">
        <f t="shared" si="18"/>
        <v>0</v>
      </c>
      <c r="L27" s="13">
        <f t="shared" si="18"/>
        <v>0</v>
      </c>
      <c r="M27" s="13">
        <f t="shared" si="18"/>
        <v>0</v>
      </c>
      <c r="N27" s="13">
        <f t="shared" si="18"/>
        <v>0</v>
      </c>
      <c r="O27" s="13">
        <f t="shared" si="18"/>
        <v>0</v>
      </c>
      <c r="P27" s="554"/>
      <c r="Q27" s="555"/>
      <c r="R27" s="547"/>
    </row>
    <row r="28" spans="1:18" ht="15.75" x14ac:dyDescent="0.25">
      <c r="A28" s="47" t="s">
        <v>74</v>
      </c>
      <c r="B28" s="40" t="s">
        <v>75</v>
      </c>
      <c r="C28" s="553">
        <v>0</v>
      </c>
      <c r="D28" s="13">
        <f t="shared" ref="D28:O29" si="19">+ROUND($C$28/12,0)</f>
        <v>0</v>
      </c>
      <c r="E28" s="13">
        <f t="shared" si="19"/>
        <v>0</v>
      </c>
      <c r="F28" s="13">
        <f t="shared" si="19"/>
        <v>0</v>
      </c>
      <c r="G28" s="13">
        <f t="shared" si="19"/>
        <v>0</v>
      </c>
      <c r="H28" s="13">
        <f t="shared" si="19"/>
        <v>0</v>
      </c>
      <c r="I28" s="13">
        <f t="shared" si="19"/>
        <v>0</v>
      </c>
      <c r="J28" s="13">
        <f t="shared" si="19"/>
        <v>0</v>
      </c>
      <c r="K28" s="13">
        <f t="shared" si="19"/>
        <v>0</v>
      </c>
      <c r="L28" s="13">
        <f t="shared" si="19"/>
        <v>0</v>
      </c>
      <c r="M28" s="13">
        <f t="shared" si="19"/>
        <v>0</v>
      </c>
      <c r="N28" s="13">
        <f t="shared" si="19"/>
        <v>0</v>
      </c>
      <c r="O28" s="13">
        <f t="shared" si="19"/>
        <v>0</v>
      </c>
      <c r="P28" s="554"/>
      <c r="Q28" s="555"/>
      <c r="R28" s="547"/>
    </row>
    <row r="29" spans="1:18" ht="15.75" x14ac:dyDescent="0.25">
      <c r="A29" s="46" t="s">
        <v>76</v>
      </c>
      <c r="B29" s="40" t="s">
        <v>77</v>
      </c>
      <c r="C29" s="553">
        <v>0</v>
      </c>
      <c r="D29" s="13">
        <f t="shared" si="19"/>
        <v>0</v>
      </c>
      <c r="E29" s="13">
        <f t="shared" si="19"/>
        <v>0</v>
      </c>
      <c r="F29" s="13">
        <f t="shared" si="19"/>
        <v>0</v>
      </c>
      <c r="G29" s="13">
        <f t="shared" si="19"/>
        <v>0</v>
      </c>
      <c r="H29" s="13">
        <f t="shared" si="19"/>
        <v>0</v>
      </c>
      <c r="I29" s="13">
        <f t="shared" si="19"/>
        <v>0</v>
      </c>
      <c r="J29" s="13">
        <f t="shared" si="19"/>
        <v>0</v>
      </c>
      <c r="K29" s="13">
        <f t="shared" si="19"/>
        <v>0</v>
      </c>
      <c r="L29" s="13">
        <f t="shared" si="19"/>
        <v>0</v>
      </c>
      <c r="M29" s="13">
        <f t="shared" si="19"/>
        <v>0</v>
      </c>
      <c r="N29" s="13">
        <f t="shared" si="19"/>
        <v>0</v>
      </c>
      <c r="O29" s="13">
        <f t="shared" si="19"/>
        <v>0</v>
      </c>
      <c r="P29" s="554"/>
      <c r="Q29" s="555"/>
      <c r="R29" s="547"/>
    </row>
    <row r="30" spans="1:18" ht="15.75" x14ac:dyDescent="0.25">
      <c r="A30" s="46" t="s">
        <v>78</v>
      </c>
      <c r="B30" s="40" t="s">
        <v>79</v>
      </c>
      <c r="C30" s="553">
        <v>56190</v>
      </c>
      <c r="D30" s="13">
        <f t="shared" ref="D30:N30" si="20">+ROUND($C$30/12,0)</f>
        <v>4683</v>
      </c>
      <c r="E30" s="13">
        <f t="shared" si="20"/>
        <v>4683</v>
      </c>
      <c r="F30" s="13">
        <f t="shared" si="20"/>
        <v>4683</v>
      </c>
      <c r="G30" s="13">
        <f t="shared" si="20"/>
        <v>4683</v>
      </c>
      <c r="H30" s="13">
        <f t="shared" si="20"/>
        <v>4683</v>
      </c>
      <c r="I30" s="13">
        <f t="shared" si="20"/>
        <v>4683</v>
      </c>
      <c r="J30" s="13">
        <f t="shared" si="20"/>
        <v>4683</v>
      </c>
      <c r="K30" s="13">
        <f t="shared" si="20"/>
        <v>4683</v>
      </c>
      <c r="L30" s="13">
        <f t="shared" si="20"/>
        <v>4683</v>
      </c>
      <c r="M30" s="13">
        <f t="shared" si="20"/>
        <v>4683</v>
      </c>
      <c r="N30" s="13">
        <f t="shared" si="20"/>
        <v>4683</v>
      </c>
      <c r="O30" s="13">
        <f>+ROUND($C$30/12,0)-6</f>
        <v>4677</v>
      </c>
      <c r="P30" s="554"/>
      <c r="Q30" s="555"/>
      <c r="R30" s="547"/>
    </row>
    <row r="31" spans="1:18" ht="15.75" x14ac:dyDescent="0.25">
      <c r="A31" s="47" t="s">
        <v>80</v>
      </c>
      <c r="B31" s="40" t="s">
        <v>81</v>
      </c>
      <c r="C31" s="553">
        <v>20000</v>
      </c>
      <c r="D31" s="13"/>
      <c r="E31" s="13"/>
      <c r="F31" s="13"/>
      <c r="G31" s="13"/>
      <c r="H31" s="13">
        <v>5000</v>
      </c>
      <c r="I31" s="13"/>
      <c r="J31" s="13"/>
      <c r="K31" s="13">
        <v>5000</v>
      </c>
      <c r="L31" s="13"/>
      <c r="M31" s="13">
        <v>5000</v>
      </c>
      <c r="N31" s="13"/>
      <c r="O31" s="13">
        <v>5000</v>
      </c>
      <c r="P31" s="554"/>
      <c r="Q31" s="555"/>
      <c r="R31" s="547"/>
    </row>
    <row r="32" spans="1:18" ht="15.75" x14ac:dyDescent="0.25">
      <c r="A32" s="47" t="s">
        <v>82</v>
      </c>
      <c r="B32" s="40" t="s">
        <v>81</v>
      </c>
      <c r="C32" s="553">
        <v>4800</v>
      </c>
      <c r="D32" s="13"/>
      <c r="E32" s="13"/>
      <c r="F32" s="13"/>
      <c r="G32" s="13">
        <v>1000</v>
      </c>
      <c r="H32" s="13">
        <v>500</v>
      </c>
      <c r="I32" s="13">
        <v>1000</v>
      </c>
      <c r="J32" s="13"/>
      <c r="K32" s="13"/>
      <c r="L32" s="13"/>
      <c r="M32" s="13">
        <v>1000</v>
      </c>
      <c r="N32" s="13"/>
      <c r="O32" s="13">
        <v>1300</v>
      </c>
      <c r="P32" s="554"/>
      <c r="Q32" s="555"/>
      <c r="R32" s="547"/>
    </row>
    <row r="33" spans="1:18" s="558" customFormat="1" ht="15.75" x14ac:dyDescent="0.25">
      <c r="A33" s="102" t="s">
        <v>83</v>
      </c>
      <c r="B33" s="530" t="s">
        <v>84</v>
      </c>
      <c r="C33" s="559">
        <v>100980</v>
      </c>
      <c r="D33" s="76">
        <f t="shared" ref="D33:O33" si="21">SUM(D19:D32)</f>
        <v>9479</v>
      </c>
      <c r="E33" s="76">
        <f t="shared" si="21"/>
        <v>10914</v>
      </c>
      <c r="F33" s="76">
        <f t="shared" si="21"/>
        <v>5479</v>
      </c>
      <c r="G33" s="76">
        <f t="shared" si="21"/>
        <v>7479</v>
      </c>
      <c r="H33" s="76">
        <f t="shared" si="21"/>
        <v>10979</v>
      </c>
      <c r="I33" s="76">
        <f t="shared" si="21"/>
        <v>6479</v>
      </c>
      <c r="J33" s="76">
        <f t="shared" si="21"/>
        <v>5479</v>
      </c>
      <c r="K33" s="76">
        <f t="shared" si="21"/>
        <v>10479</v>
      </c>
      <c r="L33" s="76">
        <f t="shared" si="21"/>
        <v>5479</v>
      </c>
      <c r="M33" s="76">
        <f t="shared" si="21"/>
        <v>11479</v>
      </c>
      <c r="N33" s="76">
        <f t="shared" si="21"/>
        <v>5479</v>
      </c>
      <c r="O33" s="76">
        <f t="shared" si="21"/>
        <v>11776</v>
      </c>
      <c r="P33" s="554"/>
      <c r="Q33" s="556"/>
      <c r="R33" s="557"/>
    </row>
    <row r="34" spans="1:18" s="558" customFormat="1" ht="15.75" x14ac:dyDescent="0.25">
      <c r="A34" s="531" t="s">
        <v>85</v>
      </c>
      <c r="B34" s="530" t="s">
        <v>86</v>
      </c>
      <c r="C34" s="559">
        <v>3513072</v>
      </c>
      <c r="D34" s="76">
        <f t="shared" ref="D34:O34" si="22">+D33+D18+D17+D11+D10</f>
        <v>293819</v>
      </c>
      <c r="E34" s="76">
        <f t="shared" si="22"/>
        <v>295254</v>
      </c>
      <c r="F34" s="76">
        <f t="shared" si="22"/>
        <v>289819</v>
      </c>
      <c r="G34" s="76">
        <f t="shared" si="22"/>
        <v>291819</v>
      </c>
      <c r="H34" s="76">
        <f t="shared" si="22"/>
        <v>295319</v>
      </c>
      <c r="I34" s="76">
        <f t="shared" si="22"/>
        <v>290819</v>
      </c>
      <c r="J34" s="76">
        <f t="shared" si="22"/>
        <v>289819</v>
      </c>
      <c r="K34" s="76">
        <f t="shared" si="22"/>
        <v>294819</v>
      </c>
      <c r="L34" s="76">
        <f t="shared" si="22"/>
        <v>289819</v>
      </c>
      <c r="M34" s="76">
        <f t="shared" si="22"/>
        <v>295819</v>
      </c>
      <c r="N34" s="76">
        <f t="shared" si="22"/>
        <v>289819</v>
      </c>
      <c r="O34" s="76">
        <f t="shared" si="22"/>
        <v>296128</v>
      </c>
      <c r="P34" s="554"/>
      <c r="Q34" s="555"/>
      <c r="R34" s="557"/>
    </row>
    <row r="35" spans="1:18" ht="15.75" x14ac:dyDescent="0.25">
      <c r="A35" s="51" t="s">
        <v>87</v>
      </c>
      <c r="B35" s="40" t="s">
        <v>88</v>
      </c>
      <c r="C35" s="553">
        <v>106</v>
      </c>
      <c r="D35" s="13"/>
      <c r="E35" s="13"/>
      <c r="F35" s="13"/>
      <c r="G35" s="13">
        <v>106</v>
      </c>
      <c r="H35" s="13"/>
      <c r="I35" s="13"/>
      <c r="J35" s="13"/>
      <c r="K35" s="13"/>
      <c r="L35" s="13"/>
      <c r="M35" s="13"/>
      <c r="N35" s="13"/>
      <c r="O35" s="13"/>
      <c r="P35" s="554"/>
      <c r="Q35" s="555"/>
      <c r="R35" s="547"/>
    </row>
    <row r="36" spans="1:18" ht="15.75" x14ac:dyDescent="0.25">
      <c r="A36" s="51" t="s">
        <v>89</v>
      </c>
      <c r="B36" s="40" t="s">
        <v>90</v>
      </c>
      <c r="C36" s="553">
        <v>325437</v>
      </c>
      <c r="D36" s="13">
        <v>35600</v>
      </c>
      <c r="E36" s="13">
        <v>17500</v>
      </c>
      <c r="F36" s="13"/>
      <c r="G36" s="13"/>
      <c r="H36" s="13">
        <v>68000</v>
      </c>
      <c r="I36" s="13">
        <v>35000</v>
      </c>
      <c r="J36" s="13"/>
      <c r="K36" s="13">
        <v>53000</v>
      </c>
      <c r="L36" s="13">
        <v>26000</v>
      </c>
      <c r="M36" s="13">
        <v>50000</v>
      </c>
      <c r="N36" s="13">
        <v>29036</v>
      </c>
      <c r="O36" s="13">
        <f>10370+931</f>
        <v>11301</v>
      </c>
      <c r="P36" s="554"/>
      <c r="Q36" s="555"/>
      <c r="R36" s="547"/>
    </row>
    <row r="37" spans="1:18" ht="15.75" x14ac:dyDescent="0.25">
      <c r="A37" s="51" t="s">
        <v>91</v>
      </c>
      <c r="B37" s="40" t="s">
        <v>92</v>
      </c>
      <c r="C37" s="553">
        <v>2261</v>
      </c>
      <c r="D37" s="13"/>
      <c r="E37" s="13"/>
      <c r="F37" s="13"/>
      <c r="G37" s="13"/>
      <c r="H37" s="13">
        <v>2261</v>
      </c>
      <c r="I37" s="13"/>
      <c r="J37" s="13"/>
      <c r="K37" s="13"/>
      <c r="L37" s="13"/>
      <c r="M37" s="13"/>
      <c r="N37" s="13"/>
      <c r="O37" s="13"/>
      <c r="P37" s="554"/>
      <c r="Q37" s="555"/>
      <c r="R37" s="547"/>
    </row>
    <row r="38" spans="1:18" ht="15.75" x14ac:dyDescent="0.25">
      <c r="A38" s="51" t="s">
        <v>93</v>
      </c>
      <c r="B38" s="40" t="s">
        <v>94</v>
      </c>
      <c r="C38" s="553">
        <v>531334</v>
      </c>
      <c r="D38" s="13"/>
      <c r="E38" s="13"/>
      <c r="F38" s="13">
        <v>5600</v>
      </c>
      <c r="G38" s="13">
        <v>36496</v>
      </c>
      <c r="H38" s="13">
        <v>682</v>
      </c>
      <c r="I38" s="13">
        <v>8698</v>
      </c>
      <c r="J38" s="13">
        <v>57134</v>
      </c>
      <c r="K38" s="13">
        <v>34270</v>
      </c>
      <c r="L38" s="13">
        <v>73659</v>
      </c>
      <c r="M38" s="13">
        <v>162500</v>
      </c>
      <c r="N38" s="13">
        <v>152295</v>
      </c>
      <c r="O38" s="13"/>
      <c r="P38" s="554"/>
      <c r="Q38" s="555"/>
      <c r="R38" s="547"/>
    </row>
    <row r="39" spans="1:18" ht="15.75" x14ac:dyDescent="0.25">
      <c r="A39" s="52" t="s">
        <v>95</v>
      </c>
      <c r="B39" s="40" t="s">
        <v>96</v>
      </c>
      <c r="C39" s="553"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554"/>
      <c r="Q39" s="555"/>
      <c r="R39" s="547"/>
    </row>
    <row r="40" spans="1:18" ht="15.75" x14ac:dyDescent="0.25">
      <c r="A40" s="52" t="s">
        <v>97</v>
      </c>
      <c r="B40" s="40" t="s">
        <v>98</v>
      </c>
      <c r="C40" s="553"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554"/>
      <c r="Q40" s="555"/>
      <c r="R40" s="547"/>
    </row>
    <row r="41" spans="1:18" ht="15.75" x14ac:dyDescent="0.25">
      <c r="A41" s="52" t="s">
        <v>99</v>
      </c>
      <c r="B41" s="40" t="s">
        <v>100</v>
      </c>
      <c r="C41" s="553">
        <v>199121</v>
      </c>
      <c r="D41" s="13"/>
      <c r="E41" s="13"/>
      <c r="F41" s="13">
        <f t="shared" ref="F41:K41" si="23">ROUND(SUM(F35:F40)*0.27,0)</f>
        <v>1512</v>
      </c>
      <c r="G41" s="13">
        <f t="shared" si="23"/>
        <v>9883</v>
      </c>
      <c r="H41" s="13">
        <f t="shared" si="23"/>
        <v>19155</v>
      </c>
      <c r="I41" s="13">
        <f>ROUND(SUM(I35:I40)*0.27,0)-3459</f>
        <v>8339</v>
      </c>
      <c r="J41" s="13">
        <f t="shared" si="23"/>
        <v>15426</v>
      </c>
      <c r="K41" s="13">
        <f t="shared" si="23"/>
        <v>23563</v>
      </c>
      <c r="L41" s="13">
        <f>ROUND(SUM(L35:L40)*0.27,0)</f>
        <v>26908</v>
      </c>
      <c r="M41" s="13">
        <f>ROUND(SUM(M35:M40)*0.27,0)</f>
        <v>57375</v>
      </c>
      <c r="N41" s="13">
        <f>ROUND(SUM(N35:N40)*0.27,0)-12000+1</f>
        <v>36960</v>
      </c>
      <c r="O41" s="13"/>
      <c r="P41" s="554"/>
      <c r="Q41" s="555"/>
      <c r="R41" s="547"/>
    </row>
    <row r="42" spans="1:18" s="558" customFormat="1" ht="15.75" x14ac:dyDescent="0.25">
      <c r="A42" s="75" t="s">
        <v>101</v>
      </c>
      <c r="B42" s="530" t="s">
        <v>102</v>
      </c>
      <c r="C42" s="559">
        <v>1058259</v>
      </c>
      <c r="D42" s="76">
        <f t="shared" ref="D42:O42" si="24">SUM(D35:D41)</f>
        <v>35600</v>
      </c>
      <c r="E42" s="76">
        <f t="shared" si="24"/>
        <v>17500</v>
      </c>
      <c r="F42" s="76">
        <f t="shared" si="24"/>
        <v>7112</v>
      </c>
      <c r="G42" s="76">
        <f t="shared" si="24"/>
        <v>46485</v>
      </c>
      <c r="H42" s="76">
        <f t="shared" si="24"/>
        <v>90098</v>
      </c>
      <c r="I42" s="76">
        <f t="shared" si="24"/>
        <v>52037</v>
      </c>
      <c r="J42" s="76">
        <f t="shared" si="24"/>
        <v>72560</v>
      </c>
      <c r="K42" s="76">
        <f t="shared" si="24"/>
        <v>110833</v>
      </c>
      <c r="L42" s="76">
        <f t="shared" si="24"/>
        <v>126567</v>
      </c>
      <c r="M42" s="76">
        <f t="shared" si="24"/>
        <v>269875</v>
      </c>
      <c r="N42" s="76">
        <f t="shared" si="24"/>
        <v>218291</v>
      </c>
      <c r="O42" s="76">
        <f t="shared" si="24"/>
        <v>11301</v>
      </c>
      <c r="P42" s="554"/>
      <c r="Q42" s="555"/>
      <c r="R42" s="557"/>
    </row>
    <row r="43" spans="1:18" ht="15.75" x14ac:dyDescent="0.25">
      <c r="A43" s="54" t="s">
        <v>103</v>
      </c>
      <c r="B43" s="40" t="s">
        <v>104</v>
      </c>
      <c r="C43" s="553">
        <v>1122045</v>
      </c>
      <c r="D43" s="13"/>
      <c r="E43" s="13"/>
      <c r="F43" s="13">
        <f>8505</f>
        <v>8505</v>
      </c>
      <c r="G43" s="13">
        <v>105000</v>
      </c>
      <c r="H43" s="13">
        <v>128916</v>
      </c>
      <c r="I43" s="13">
        <v>156220</v>
      </c>
      <c r="J43" s="13">
        <v>83996</v>
      </c>
      <c r="K43" s="13">
        <f>114636</f>
        <v>114636</v>
      </c>
      <c r="L43" s="13">
        <f>158794</f>
        <v>158794</v>
      </c>
      <c r="M43" s="13">
        <f>32455-15000</f>
        <v>17455</v>
      </c>
      <c r="N43" s="13">
        <v>35726</v>
      </c>
      <c r="O43" s="13">
        <v>312797</v>
      </c>
      <c r="P43" s="554"/>
      <c r="Q43" s="555"/>
      <c r="R43" s="547"/>
    </row>
    <row r="44" spans="1:18" ht="15.75" x14ac:dyDescent="0.25">
      <c r="A44" s="54" t="s">
        <v>105</v>
      </c>
      <c r="B44" s="40" t="s">
        <v>106</v>
      </c>
      <c r="C44" s="553"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554"/>
      <c r="Q44" s="555"/>
      <c r="R44" s="547"/>
    </row>
    <row r="45" spans="1:18" ht="15.75" x14ac:dyDescent="0.25">
      <c r="A45" s="54" t="s">
        <v>107</v>
      </c>
      <c r="B45" s="40" t="s">
        <v>108</v>
      </c>
      <c r="C45" s="553"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554"/>
      <c r="Q45" s="555"/>
      <c r="R45" s="547"/>
    </row>
    <row r="46" spans="1:18" ht="15.75" x14ac:dyDescent="0.25">
      <c r="A46" s="54" t="s">
        <v>109</v>
      </c>
      <c r="B46" s="40" t="s">
        <v>110</v>
      </c>
      <c r="C46" s="553">
        <v>306346</v>
      </c>
      <c r="D46" s="13">
        <f t="shared" ref="D46:E46" si="25">ROUND(SUM(D43:D45)*0.27,0)</f>
        <v>0</v>
      </c>
      <c r="E46" s="13">
        <f t="shared" si="25"/>
        <v>0</v>
      </c>
      <c r="F46" s="13">
        <f>ROUND(SUM(F43:F45)*0.27,0)+305</f>
        <v>2601</v>
      </c>
      <c r="G46" s="13">
        <f t="shared" ref="G46:N46" si="26">ROUND(SUM(G43:G45)*0.27,0)+305</f>
        <v>28655</v>
      </c>
      <c r="H46" s="13">
        <f t="shared" si="26"/>
        <v>35112</v>
      </c>
      <c r="I46" s="13">
        <f t="shared" si="26"/>
        <v>42484</v>
      </c>
      <c r="J46" s="13">
        <f t="shared" si="26"/>
        <v>22984</v>
      </c>
      <c r="K46" s="13">
        <f t="shared" si="26"/>
        <v>31257</v>
      </c>
      <c r="L46" s="13">
        <f t="shared" si="26"/>
        <v>43179</v>
      </c>
      <c r="M46" s="13">
        <f t="shared" si="26"/>
        <v>5018</v>
      </c>
      <c r="N46" s="13">
        <f t="shared" si="26"/>
        <v>9951</v>
      </c>
      <c r="O46" s="13">
        <f>ROUND(SUM(O43:O45)*0.27,0)+305+345</f>
        <v>85105</v>
      </c>
      <c r="P46" s="554"/>
      <c r="Q46" s="555"/>
      <c r="R46" s="547"/>
    </row>
    <row r="47" spans="1:18" s="558" customFormat="1" ht="15.75" x14ac:dyDescent="0.25">
      <c r="A47" s="74" t="s">
        <v>111</v>
      </c>
      <c r="B47" s="530" t="s">
        <v>112</v>
      </c>
      <c r="C47" s="559">
        <v>1428391</v>
      </c>
      <c r="D47" s="76">
        <f t="shared" ref="D47:O47" si="27">SUM(D43:D46)</f>
        <v>0</v>
      </c>
      <c r="E47" s="76">
        <f t="shared" si="27"/>
        <v>0</v>
      </c>
      <c r="F47" s="76">
        <f t="shared" si="27"/>
        <v>11106</v>
      </c>
      <c r="G47" s="76">
        <f t="shared" si="27"/>
        <v>133655</v>
      </c>
      <c r="H47" s="76">
        <f t="shared" si="27"/>
        <v>164028</v>
      </c>
      <c r="I47" s="76">
        <f t="shared" si="27"/>
        <v>198704</v>
      </c>
      <c r="J47" s="76">
        <f t="shared" si="27"/>
        <v>106980</v>
      </c>
      <c r="K47" s="76">
        <f t="shared" si="27"/>
        <v>145893</v>
      </c>
      <c r="L47" s="76">
        <f t="shared" si="27"/>
        <v>201973</v>
      </c>
      <c r="M47" s="76">
        <f t="shared" si="27"/>
        <v>22473</v>
      </c>
      <c r="N47" s="76">
        <f t="shared" si="27"/>
        <v>45677</v>
      </c>
      <c r="O47" s="76">
        <f t="shared" si="27"/>
        <v>397902</v>
      </c>
      <c r="P47" s="554"/>
      <c r="Q47" s="555"/>
      <c r="R47" s="557"/>
    </row>
    <row r="48" spans="1:18" ht="15.75" hidden="1" x14ac:dyDescent="0.25">
      <c r="A48" s="54" t="s">
        <v>872</v>
      </c>
      <c r="B48" s="40" t="s">
        <v>114</v>
      </c>
      <c r="C48" s="553">
        <v>0</v>
      </c>
      <c r="D48" s="13">
        <f t="shared" ref="D48:O48" si="28">+ROUND($C$48/12,0)</f>
        <v>0</v>
      </c>
      <c r="E48" s="13">
        <f t="shared" si="28"/>
        <v>0</v>
      </c>
      <c r="F48" s="13">
        <f t="shared" si="28"/>
        <v>0</v>
      </c>
      <c r="G48" s="13">
        <f t="shared" si="28"/>
        <v>0</v>
      </c>
      <c r="H48" s="13">
        <f t="shared" si="28"/>
        <v>0</v>
      </c>
      <c r="I48" s="13">
        <f t="shared" si="28"/>
        <v>0</v>
      </c>
      <c r="J48" s="13">
        <f t="shared" si="28"/>
        <v>0</v>
      </c>
      <c r="K48" s="13">
        <f t="shared" si="28"/>
        <v>0</v>
      </c>
      <c r="L48" s="13">
        <f t="shared" si="28"/>
        <v>0</v>
      </c>
      <c r="M48" s="13">
        <f t="shared" si="28"/>
        <v>0</v>
      </c>
      <c r="N48" s="13">
        <f t="shared" si="28"/>
        <v>0</v>
      </c>
      <c r="O48" s="13">
        <f t="shared" si="28"/>
        <v>0</v>
      </c>
      <c r="P48" s="554"/>
      <c r="Q48" s="555"/>
      <c r="R48" s="547"/>
    </row>
    <row r="49" spans="1:18" ht="15.75" hidden="1" x14ac:dyDescent="0.25">
      <c r="A49" s="54" t="s">
        <v>590</v>
      </c>
      <c r="B49" s="40" t="s">
        <v>116</v>
      </c>
      <c r="C49" s="553">
        <v>0</v>
      </c>
      <c r="D49" s="13">
        <f t="shared" ref="D49:O49" si="29">+ROUND($C$49/12,0)</f>
        <v>0</v>
      </c>
      <c r="E49" s="13">
        <f t="shared" si="29"/>
        <v>0</v>
      </c>
      <c r="F49" s="13">
        <f t="shared" si="29"/>
        <v>0</v>
      </c>
      <c r="G49" s="13">
        <f t="shared" si="29"/>
        <v>0</v>
      </c>
      <c r="H49" s="13">
        <f t="shared" si="29"/>
        <v>0</v>
      </c>
      <c r="I49" s="13">
        <f t="shared" si="29"/>
        <v>0</v>
      </c>
      <c r="J49" s="13">
        <f t="shared" si="29"/>
        <v>0</v>
      </c>
      <c r="K49" s="13">
        <f t="shared" si="29"/>
        <v>0</v>
      </c>
      <c r="L49" s="13">
        <f t="shared" si="29"/>
        <v>0</v>
      </c>
      <c r="M49" s="13">
        <f t="shared" si="29"/>
        <v>0</v>
      </c>
      <c r="N49" s="13">
        <f t="shared" si="29"/>
        <v>0</v>
      </c>
      <c r="O49" s="13">
        <f t="shared" si="29"/>
        <v>0</v>
      </c>
      <c r="P49" s="554"/>
      <c r="Q49" s="555"/>
      <c r="R49" s="547"/>
    </row>
    <row r="50" spans="1:18" ht="15.75" hidden="1" x14ac:dyDescent="0.25">
      <c r="A50" s="54" t="s">
        <v>873</v>
      </c>
      <c r="B50" s="40" t="s">
        <v>118</v>
      </c>
      <c r="C50" s="553">
        <v>0</v>
      </c>
      <c r="D50" s="13">
        <f t="shared" ref="D50:O50" si="30">+ROUND($C$50/12,0)</f>
        <v>0</v>
      </c>
      <c r="E50" s="13">
        <f t="shared" si="30"/>
        <v>0</v>
      </c>
      <c r="F50" s="13">
        <f t="shared" si="30"/>
        <v>0</v>
      </c>
      <c r="G50" s="13">
        <f t="shared" si="30"/>
        <v>0</v>
      </c>
      <c r="H50" s="13">
        <f t="shared" si="30"/>
        <v>0</v>
      </c>
      <c r="I50" s="13">
        <f t="shared" si="30"/>
        <v>0</v>
      </c>
      <c r="J50" s="13">
        <f t="shared" si="30"/>
        <v>0</v>
      </c>
      <c r="K50" s="13">
        <f t="shared" si="30"/>
        <v>0</v>
      </c>
      <c r="L50" s="13">
        <f t="shared" si="30"/>
        <v>0</v>
      </c>
      <c r="M50" s="13">
        <f t="shared" si="30"/>
        <v>0</v>
      </c>
      <c r="N50" s="13">
        <f t="shared" si="30"/>
        <v>0</v>
      </c>
      <c r="O50" s="13">
        <f t="shared" si="30"/>
        <v>0</v>
      </c>
      <c r="P50" s="554"/>
      <c r="Q50" s="555"/>
      <c r="R50" s="547"/>
    </row>
    <row r="51" spans="1:18" ht="15.75" x14ac:dyDescent="0.25">
      <c r="A51" s="54" t="s">
        <v>119</v>
      </c>
      <c r="B51" s="40" t="s">
        <v>120</v>
      </c>
      <c r="C51" s="553">
        <v>0</v>
      </c>
      <c r="D51" s="13">
        <f t="shared" ref="D51:N51" si="31">+ROUND($C$51/12,0)</f>
        <v>0</v>
      </c>
      <c r="E51" s="13">
        <f t="shared" si="31"/>
        <v>0</v>
      </c>
      <c r="F51" s="13">
        <f t="shared" si="31"/>
        <v>0</v>
      </c>
      <c r="G51" s="13">
        <f t="shared" si="31"/>
        <v>0</v>
      </c>
      <c r="H51" s="13">
        <f t="shared" si="31"/>
        <v>0</v>
      </c>
      <c r="I51" s="13">
        <f t="shared" si="31"/>
        <v>0</v>
      </c>
      <c r="J51" s="13">
        <f t="shared" si="31"/>
        <v>0</v>
      </c>
      <c r="K51" s="13">
        <f t="shared" si="31"/>
        <v>0</v>
      </c>
      <c r="L51" s="13">
        <f t="shared" si="31"/>
        <v>0</v>
      </c>
      <c r="M51" s="13">
        <f t="shared" si="31"/>
        <v>0</v>
      </c>
      <c r="N51" s="13">
        <f t="shared" si="31"/>
        <v>0</v>
      </c>
      <c r="O51" s="13">
        <f>+ROUND($C$51/12,0)</f>
        <v>0</v>
      </c>
      <c r="P51" s="554"/>
      <c r="Q51" s="555"/>
      <c r="R51" s="547"/>
    </row>
    <row r="52" spans="1:18" ht="15.75" x14ac:dyDescent="0.25">
      <c r="A52" s="54" t="s">
        <v>874</v>
      </c>
      <c r="B52" s="40" t="s">
        <v>122</v>
      </c>
      <c r="C52" s="553">
        <v>13101</v>
      </c>
      <c r="D52" s="13"/>
      <c r="E52" s="13"/>
      <c r="F52" s="13">
        <f>+ROUND($C$52/12,0)*2+1</f>
        <v>2185</v>
      </c>
      <c r="G52" s="13">
        <f>+ROUND($C$52/12,0)*2</f>
        <v>2184</v>
      </c>
      <c r="H52" s="13">
        <f t="shared" ref="H52:N52" si="32">+ROUND($C$52/12,0)</f>
        <v>1092</v>
      </c>
      <c r="I52" s="13">
        <f t="shared" si="32"/>
        <v>1092</v>
      </c>
      <c r="J52" s="13">
        <f t="shared" si="32"/>
        <v>1092</v>
      </c>
      <c r="K52" s="13">
        <f t="shared" si="32"/>
        <v>1092</v>
      </c>
      <c r="L52" s="13">
        <f t="shared" si="32"/>
        <v>1092</v>
      </c>
      <c r="M52" s="13">
        <f t="shared" si="32"/>
        <v>1092</v>
      </c>
      <c r="N52" s="13">
        <f t="shared" si="32"/>
        <v>1092</v>
      </c>
      <c r="O52" s="13">
        <f>+ROUND($C$52/12,0)-4</f>
        <v>1088</v>
      </c>
      <c r="P52" s="554"/>
      <c r="Q52" s="555"/>
      <c r="R52" s="547"/>
    </row>
    <row r="53" spans="1:18" ht="15.75" x14ac:dyDescent="0.25">
      <c r="A53" s="54" t="s">
        <v>875</v>
      </c>
      <c r="B53" s="40" t="s">
        <v>124</v>
      </c>
      <c r="C53" s="553">
        <v>0</v>
      </c>
      <c r="D53" s="13">
        <f t="shared" ref="D53:O53" si="33">+ROUND($C$53/12,0)</f>
        <v>0</v>
      </c>
      <c r="E53" s="13">
        <f t="shared" si="33"/>
        <v>0</v>
      </c>
      <c r="F53" s="13">
        <f t="shared" si="33"/>
        <v>0</v>
      </c>
      <c r="G53" s="13">
        <f t="shared" si="33"/>
        <v>0</v>
      </c>
      <c r="H53" s="13">
        <f t="shared" si="33"/>
        <v>0</v>
      </c>
      <c r="I53" s="13">
        <f t="shared" si="33"/>
        <v>0</v>
      </c>
      <c r="J53" s="13">
        <f t="shared" si="33"/>
        <v>0</v>
      </c>
      <c r="K53" s="13">
        <f t="shared" si="33"/>
        <v>0</v>
      </c>
      <c r="L53" s="13">
        <f t="shared" si="33"/>
        <v>0</v>
      </c>
      <c r="M53" s="13">
        <f t="shared" si="33"/>
        <v>0</v>
      </c>
      <c r="N53" s="13">
        <f t="shared" si="33"/>
        <v>0</v>
      </c>
      <c r="O53" s="13">
        <f t="shared" si="33"/>
        <v>0</v>
      </c>
      <c r="P53" s="554"/>
      <c r="Q53" s="555"/>
      <c r="R53" s="547"/>
    </row>
    <row r="54" spans="1:18" ht="15.75" x14ac:dyDescent="0.25">
      <c r="A54" s="54" t="s">
        <v>125</v>
      </c>
      <c r="B54" s="40" t="s">
        <v>126</v>
      </c>
      <c r="C54" s="553">
        <v>0</v>
      </c>
      <c r="D54" s="13">
        <f t="shared" ref="D54:O55" si="34">+ROUND($C$54/12,0)</f>
        <v>0</v>
      </c>
      <c r="E54" s="13">
        <f t="shared" si="34"/>
        <v>0</v>
      </c>
      <c r="F54" s="13">
        <f t="shared" si="34"/>
        <v>0</v>
      </c>
      <c r="G54" s="13">
        <f t="shared" si="34"/>
        <v>0</v>
      </c>
      <c r="H54" s="13">
        <f t="shared" si="34"/>
        <v>0</v>
      </c>
      <c r="I54" s="13">
        <f t="shared" si="34"/>
        <v>0</v>
      </c>
      <c r="J54" s="13">
        <f t="shared" si="34"/>
        <v>0</v>
      </c>
      <c r="K54" s="13">
        <f t="shared" si="34"/>
        <v>0</v>
      </c>
      <c r="L54" s="13">
        <f t="shared" si="34"/>
        <v>0</v>
      </c>
      <c r="M54" s="13">
        <f t="shared" si="34"/>
        <v>0</v>
      </c>
      <c r="N54" s="13">
        <f t="shared" si="34"/>
        <v>0</v>
      </c>
      <c r="O54" s="13">
        <f t="shared" si="34"/>
        <v>0</v>
      </c>
      <c r="P54" s="554"/>
      <c r="Q54" s="555"/>
      <c r="R54" s="547"/>
    </row>
    <row r="55" spans="1:18" ht="15.75" x14ac:dyDescent="0.25">
      <c r="A55" s="54" t="s">
        <v>127</v>
      </c>
      <c r="B55" s="40" t="s">
        <v>128</v>
      </c>
      <c r="C55" s="553">
        <v>0</v>
      </c>
      <c r="D55" s="13">
        <f t="shared" si="34"/>
        <v>0</v>
      </c>
      <c r="E55" s="13">
        <f t="shared" si="34"/>
        <v>0</v>
      </c>
      <c r="F55" s="13">
        <f t="shared" si="34"/>
        <v>0</v>
      </c>
      <c r="G55" s="13">
        <f t="shared" si="34"/>
        <v>0</v>
      </c>
      <c r="H55" s="13">
        <f t="shared" si="34"/>
        <v>0</v>
      </c>
      <c r="I55" s="13">
        <f t="shared" si="34"/>
        <v>0</v>
      </c>
      <c r="J55" s="13">
        <f t="shared" si="34"/>
        <v>0</v>
      </c>
      <c r="K55" s="13">
        <f t="shared" si="34"/>
        <v>0</v>
      </c>
      <c r="L55" s="13">
        <f t="shared" si="34"/>
        <v>0</v>
      </c>
      <c r="M55" s="13">
        <f t="shared" si="34"/>
        <v>0</v>
      </c>
      <c r="N55" s="13">
        <f t="shared" si="34"/>
        <v>0</v>
      </c>
      <c r="O55" s="13">
        <f t="shared" si="34"/>
        <v>0</v>
      </c>
      <c r="P55" s="554"/>
      <c r="Q55" s="555"/>
      <c r="R55" s="547"/>
    </row>
    <row r="56" spans="1:18" ht="15.75" x14ac:dyDescent="0.25">
      <c r="A56" s="54" t="s">
        <v>129</v>
      </c>
      <c r="B56" s="40" t="s">
        <v>130</v>
      </c>
      <c r="C56" s="553"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554"/>
      <c r="Q56" s="555"/>
      <c r="R56" s="547"/>
    </row>
    <row r="57" spans="1:18" s="558" customFormat="1" ht="15.75" x14ac:dyDescent="0.25">
      <c r="A57" s="102" t="s">
        <v>131</v>
      </c>
      <c r="B57" s="530" t="s">
        <v>132</v>
      </c>
      <c r="C57" s="559">
        <v>13101</v>
      </c>
      <c r="D57" s="76">
        <f t="shared" ref="D57:O57" si="35">SUM(D48:D56)</f>
        <v>0</v>
      </c>
      <c r="E57" s="76">
        <f t="shared" si="35"/>
        <v>0</v>
      </c>
      <c r="F57" s="76">
        <f t="shared" si="35"/>
        <v>2185</v>
      </c>
      <c r="G57" s="76">
        <f t="shared" si="35"/>
        <v>2184</v>
      </c>
      <c r="H57" s="76">
        <f t="shared" si="35"/>
        <v>1092</v>
      </c>
      <c r="I57" s="76">
        <f t="shared" si="35"/>
        <v>1092</v>
      </c>
      <c r="J57" s="76">
        <f t="shared" si="35"/>
        <v>1092</v>
      </c>
      <c r="K57" s="76">
        <f t="shared" si="35"/>
        <v>1092</v>
      </c>
      <c r="L57" s="76">
        <f t="shared" si="35"/>
        <v>1092</v>
      </c>
      <c r="M57" s="76">
        <f t="shared" si="35"/>
        <v>1092</v>
      </c>
      <c r="N57" s="76">
        <f t="shared" si="35"/>
        <v>1092</v>
      </c>
      <c r="O57" s="76">
        <f t="shared" si="35"/>
        <v>1088</v>
      </c>
      <c r="P57" s="554"/>
      <c r="Q57" s="555"/>
      <c r="R57" s="557"/>
    </row>
    <row r="58" spans="1:18" s="558" customFormat="1" ht="15.75" x14ac:dyDescent="0.25">
      <c r="A58" s="531" t="s">
        <v>133</v>
      </c>
      <c r="B58" s="530" t="s">
        <v>134</v>
      </c>
      <c r="C58" s="559">
        <v>2499751</v>
      </c>
      <c r="D58" s="76">
        <f t="shared" ref="D58:O58" si="36">+D57+D47+D42</f>
        <v>35600</v>
      </c>
      <c r="E58" s="76">
        <f t="shared" si="36"/>
        <v>17500</v>
      </c>
      <c r="F58" s="76">
        <f t="shared" si="36"/>
        <v>20403</v>
      </c>
      <c r="G58" s="76">
        <f t="shared" si="36"/>
        <v>182324</v>
      </c>
      <c r="H58" s="76">
        <f t="shared" si="36"/>
        <v>255218</v>
      </c>
      <c r="I58" s="76">
        <f t="shared" si="36"/>
        <v>251833</v>
      </c>
      <c r="J58" s="76">
        <f t="shared" si="36"/>
        <v>180632</v>
      </c>
      <c r="K58" s="76">
        <f t="shared" si="36"/>
        <v>257818</v>
      </c>
      <c r="L58" s="76">
        <f t="shared" si="36"/>
        <v>329632</v>
      </c>
      <c r="M58" s="76">
        <f t="shared" si="36"/>
        <v>293440</v>
      </c>
      <c r="N58" s="76">
        <f t="shared" si="36"/>
        <v>265060</v>
      </c>
      <c r="O58" s="76">
        <f t="shared" si="36"/>
        <v>410291</v>
      </c>
      <c r="P58" s="554"/>
      <c r="Q58" s="555"/>
      <c r="R58" s="557"/>
    </row>
    <row r="59" spans="1:18" s="558" customFormat="1" ht="15.75" x14ac:dyDescent="0.25">
      <c r="A59" s="75" t="s">
        <v>135</v>
      </c>
      <c r="B59" s="530" t="s">
        <v>136</v>
      </c>
      <c r="C59" s="559">
        <v>6012823</v>
      </c>
      <c r="D59" s="76">
        <f t="shared" ref="D59:O59" si="37">+D57+D47+D42+D33+D18+D17+D11+D10</f>
        <v>329419</v>
      </c>
      <c r="E59" s="76">
        <f t="shared" si="37"/>
        <v>312754</v>
      </c>
      <c r="F59" s="76">
        <f t="shared" si="37"/>
        <v>310222</v>
      </c>
      <c r="G59" s="76">
        <f t="shared" si="37"/>
        <v>474143</v>
      </c>
      <c r="H59" s="76">
        <f t="shared" si="37"/>
        <v>550537</v>
      </c>
      <c r="I59" s="76">
        <f t="shared" si="37"/>
        <v>542652</v>
      </c>
      <c r="J59" s="76">
        <f t="shared" si="37"/>
        <v>470451</v>
      </c>
      <c r="K59" s="76">
        <f t="shared" si="37"/>
        <v>552637</v>
      </c>
      <c r="L59" s="76">
        <f t="shared" si="37"/>
        <v>619451</v>
      </c>
      <c r="M59" s="76">
        <f t="shared" si="37"/>
        <v>589259</v>
      </c>
      <c r="N59" s="76">
        <f t="shared" si="37"/>
        <v>554879</v>
      </c>
      <c r="O59" s="76">
        <f t="shared" si="37"/>
        <v>706419</v>
      </c>
      <c r="P59" s="554"/>
      <c r="Q59" s="556"/>
      <c r="R59" s="557"/>
    </row>
    <row r="60" spans="1:18" ht="15.75" hidden="1" x14ac:dyDescent="0.25">
      <c r="A60" s="54" t="s">
        <v>137</v>
      </c>
      <c r="B60" s="41" t="s">
        <v>138</v>
      </c>
      <c r="C60" s="553"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554"/>
      <c r="Q60" s="555"/>
      <c r="R60" s="547"/>
    </row>
    <row r="61" spans="1:18" ht="15.75" hidden="1" x14ac:dyDescent="0.25">
      <c r="A61" s="54" t="s">
        <v>139</v>
      </c>
      <c r="B61" s="41" t="s">
        <v>140</v>
      </c>
      <c r="C61" s="553"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554"/>
      <c r="Q61" s="555"/>
      <c r="R61" s="547"/>
    </row>
    <row r="62" spans="1:18" ht="15.75" x14ac:dyDescent="0.25">
      <c r="A62" s="54" t="s">
        <v>141</v>
      </c>
      <c r="B62" s="41" t="s">
        <v>142</v>
      </c>
      <c r="C62" s="553">
        <v>88500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>
        <v>88500</v>
      </c>
      <c r="P62" s="554"/>
      <c r="Q62" s="555"/>
      <c r="R62" s="547"/>
    </row>
    <row r="63" spans="1:18" s="558" customFormat="1" ht="15.75" x14ac:dyDescent="0.25">
      <c r="A63" s="102" t="s">
        <v>143</v>
      </c>
      <c r="B63" s="74" t="s">
        <v>144</v>
      </c>
      <c r="C63" s="559">
        <v>88500</v>
      </c>
      <c r="D63" s="532">
        <f t="shared" ref="D63:O63" si="38">SUM(D60:D62)</f>
        <v>0</v>
      </c>
      <c r="E63" s="532">
        <f t="shared" si="38"/>
        <v>0</v>
      </c>
      <c r="F63" s="532">
        <f t="shared" si="38"/>
        <v>0</v>
      </c>
      <c r="G63" s="532">
        <f t="shared" si="38"/>
        <v>0</v>
      </c>
      <c r="H63" s="532">
        <f t="shared" si="38"/>
        <v>0</v>
      </c>
      <c r="I63" s="532">
        <f t="shared" si="38"/>
        <v>0</v>
      </c>
      <c r="J63" s="532">
        <f t="shared" si="38"/>
        <v>0</v>
      </c>
      <c r="K63" s="532">
        <f t="shared" si="38"/>
        <v>0</v>
      </c>
      <c r="L63" s="532">
        <f t="shared" si="38"/>
        <v>0</v>
      </c>
      <c r="M63" s="532">
        <f t="shared" si="38"/>
        <v>0</v>
      </c>
      <c r="N63" s="532">
        <f t="shared" si="38"/>
        <v>0</v>
      </c>
      <c r="O63" s="532">
        <f t="shared" si="38"/>
        <v>88500</v>
      </c>
      <c r="P63" s="554"/>
      <c r="Q63" s="556"/>
      <c r="R63" s="557"/>
    </row>
    <row r="64" spans="1:18" ht="15.75" hidden="1" x14ac:dyDescent="0.25">
      <c r="A64" s="59" t="s">
        <v>145</v>
      </c>
      <c r="B64" s="41" t="s">
        <v>146</v>
      </c>
      <c r="C64" s="553">
        <v>0</v>
      </c>
      <c r="D64" s="13">
        <f t="shared" ref="D64:O65" si="39">+ROUND($C$65/12,0)</f>
        <v>0</v>
      </c>
      <c r="E64" s="13">
        <f t="shared" si="39"/>
        <v>0</v>
      </c>
      <c r="F64" s="13">
        <f t="shared" si="39"/>
        <v>0</v>
      </c>
      <c r="G64" s="13">
        <f t="shared" si="39"/>
        <v>0</v>
      </c>
      <c r="H64" s="13">
        <f t="shared" si="39"/>
        <v>0</v>
      </c>
      <c r="I64" s="13">
        <f t="shared" si="39"/>
        <v>0</v>
      </c>
      <c r="J64" s="13">
        <f t="shared" si="39"/>
        <v>0</v>
      </c>
      <c r="K64" s="13">
        <f t="shared" si="39"/>
        <v>0</v>
      </c>
      <c r="L64" s="13">
        <f t="shared" si="39"/>
        <v>0</v>
      </c>
      <c r="M64" s="13">
        <f t="shared" si="39"/>
        <v>0</v>
      </c>
      <c r="N64" s="13">
        <f t="shared" si="39"/>
        <v>0</v>
      </c>
      <c r="O64" s="13">
        <f t="shared" si="39"/>
        <v>0</v>
      </c>
      <c r="P64" s="554"/>
      <c r="Q64" s="555"/>
      <c r="R64" s="547"/>
    </row>
    <row r="65" spans="1:18" ht="15.75" x14ac:dyDescent="0.25">
      <c r="A65" s="59" t="s">
        <v>147</v>
      </c>
      <c r="B65" s="41" t="s">
        <v>148</v>
      </c>
      <c r="C65" s="553">
        <v>0</v>
      </c>
      <c r="D65" s="13">
        <f t="shared" si="39"/>
        <v>0</v>
      </c>
      <c r="E65" s="13">
        <f t="shared" si="39"/>
        <v>0</v>
      </c>
      <c r="F65" s="13">
        <f t="shared" si="39"/>
        <v>0</v>
      </c>
      <c r="G65" s="13">
        <f t="shared" si="39"/>
        <v>0</v>
      </c>
      <c r="H65" s="13">
        <f t="shared" si="39"/>
        <v>0</v>
      </c>
      <c r="I65" s="13">
        <f t="shared" si="39"/>
        <v>0</v>
      </c>
      <c r="J65" s="13">
        <f t="shared" si="39"/>
        <v>0</v>
      </c>
      <c r="K65" s="13">
        <f t="shared" si="39"/>
        <v>0</v>
      </c>
      <c r="L65" s="13">
        <f t="shared" si="39"/>
        <v>0</v>
      </c>
      <c r="M65" s="13">
        <f t="shared" si="39"/>
        <v>0</v>
      </c>
      <c r="N65" s="13">
        <f t="shared" si="39"/>
        <v>0</v>
      </c>
      <c r="O65" s="13">
        <f t="shared" si="39"/>
        <v>0</v>
      </c>
      <c r="P65" s="554"/>
      <c r="Q65" s="555"/>
      <c r="R65" s="547"/>
    </row>
    <row r="66" spans="1:18" ht="15.75" x14ac:dyDescent="0.25">
      <c r="A66" s="59" t="s">
        <v>149</v>
      </c>
      <c r="B66" s="41" t="s">
        <v>150</v>
      </c>
      <c r="C66" s="553">
        <v>40849</v>
      </c>
      <c r="D66" s="13">
        <v>40849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554"/>
      <c r="Q66" s="555"/>
      <c r="R66" s="547"/>
    </row>
    <row r="67" spans="1:18" ht="15.75" hidden="1" x14ac:dyDescent="0.25">
      <c r="A67" s="59" t="s">
        <v>892</v>
      </c>
      <c r="B67" s="41" t="s">
        <v>152</v>
      </c>
      <c r="C67" s="553">
        <v>0</v>
      </c>
      <c r="D67" s="13">
        <f t="shared" ref="D67:O67" si="40">+ROUND($C$67/12,0)</f>
        <v>0</v>
      </c>
      <c r="E67" s="13">
        <f t="shared" si="40"/>
        <v>0</v>
      </c>
      <c r="F67" s="13">
        <f t="shared" si="40"/>
        <v>0</v>
      </c>
      <c r="G67" s="13">
        <f t="shared" si="40"/>
        <v>0</v>
      </c>
      <c r="H67" s="13">
        <f t="shared" si="40"/>
        <v>0</v>
      </c>
      <c r="I67" s="13">
        <f t="shared" si="40"/>
        <v>0</v>
      </c>
      <c r="J67" s="13">
        <f t="shared" si="40"/>
        <v>0</v>
      </c>
      <c r="K67" s="13">
        <f t="shared" si="40"/>
        <v>0</v>
      </c>
      <c r="L67" s="13">
        <f t="shared" si="40"/>
        <v>0</v>
      </c>
      <c r="M67" s="13">
        <f t="shared" si="40"/>
        <v>0</v>
      </c>
      <c r="N67" s="13">
        <f t="shared" si="40"/>
        <v>0</v>
      </c>
      <c r="O67" s="13">
        <f t="shared" si="40"/>
        <v>0</v>
      </c>
      <c r="P67" s="554"/>
      <c r="Q67" s="555"/>
      <c r="R67" s="547"/>
    </row>
    <row r="68" spans="1:18" ht="15.75" hidden="1" x14ac:dyDescent="0.25">
      <c r="A68" s="59" t="s">
        <v>675</v>
      </c>
      <c r="B68" s="41" t="s">
        <v>154</v>
      </c>
      <c r="C68" s="553">
        <v>0</v>
      </c>
      <c r="D68" s="13">
        <f t="shared" ref="D68:O68" si="41">+ROUND($C$68/12,0)</f>
        <v>0</v>
      </c>
      <c r="E68" s="13">
        <f t="shared" si="41"/>
        <v>0</v>
      </c>
      <c r="F68" s="13">
        <f t="shared" si="41"/>
        <v>0</v>
      </c>
      <c r="G68" s="13">
        <f t="shared" si="41"/>
        <v>0</v>
      </c>
      <c r="H68" s="13">
        <f t="shared" si="41"/>
        <v>0</v>
      </c>
      <c r="I68" s="13">
        <f t="shared" si="41"/>
        <v>0</v>
      </c>
      <c r="J68" s="13">
        <f t="shared" si="41"/>
        <v>0</v>
      </c>
      <c r="K68" s="13">
        <f t="shared" si="41"/>
        <v>0</v>
      </c>
      <c r="L68" s="13">
        <f t="shared" si="41"/>
        <v>0</v>
      </c>
      <c r="M68" s="13">
        <f t="shared" si="41"/>
        <v>0</v>
      </c>
      <c r="N68" s="13">
        <f t="shared" si="41"/>
        <v>0</v>
      </c>
      <c r="O68" s="13">
        <f t="shared" si="41"/>
        <v>0</v>
      </c>
      <c r="P68" s="554"/>
      <c r="Q68" s="555"/>
      <c r="R68" s="547"/>
    </row>
    <row r="69" spans="1:18" ht="15.75" hidden="1" x14ac:dyDescent="0.25">
      <c r="A69" s="59" t="s">
        <v>155</v>
      </c>
      <c r="B69" s="41" t="s">
        <v>156</v>
      </c>
      <c r="C69" s="553">
        <v>0</v>
      </c>
      <c r="D69" s="13">
        <f t="shared" ref="D69:O69" si="42">+ROUND($C$69/12,0)</f>
        <v>0</v>
      </c>
      <c r="E69" s="13">
        <f t="shared" si="42"/>
        <v>0</v>
      </c>
      <c r="F69" s="13">
        <f t="shared" si="42"/>
        <v>0</v>
      </c>
      <c r="G69" s="13">
        <f t="shared" si="42"/>
        <v>0</v>
      </c>
      <c r="H69" s="13">
        <f t="shared" si="42"/>
        <v>0</v>
      </c>
      <c r="I69" s="13">
        <f t="shared" si="42"/>
        <v>0</v>
      </c>
      <c r="J69" s="13">
        <f t="shared" si="42"/>
        <v>0</v>
      </c>
      <c r="K69" s="13">
        <f t="shared" si="42"/>
        <v>0</v>
      </c>
      <c r="L69" s="13">
        <f t="shared" si="42"/>
        <v>0</v>
      </c>
      <c r="M69" s="13">
        <f t="shared" si="42"/>
        <v>0</v>
      </c>
      <c r="N69" s="13">
        <f t="shared" si="42"/>
        <v>0</v>
      </c>
      <c r="O69" s="13">
        <f t="shared" si="42"/>
        <v>0</v>
      </c>
      <c r="P69" s="554"/>
      <c r="Q69" s="555"/>
      <c r="R69" s="547"/>
    </row>
    <row r="70" spans="1:18" ht="15.75" hidden="1" x14ac:dyDescent="0.25">
      <c r="A70" s="59" t="s">
        <v>157</v>
      </c>
      <c r="B70" s="41" t="s">
        <v>158</v>
      </c>
      <c r="C70" s="553">
        <v>0</v>
      </c>
      <c r="D70" s="13">
        <f t="shared" ref="D70:O71" si="43">+ROUND($C$70/12,0)</f>
        <v>0</v>
      </c>
      <c r="E70" s="13">
        <f t="shared" si="43"/>
        <v>0</v>
      </c>
      <c r="F70" s="13">
        <f t="shared" si="43"/>
        <v>0</v>
      </c>
      <c r="G70" s="13">
        <f t="shared" si="43"/>
        <v>0</v>
      </c>
      <c r="H70" s="13">
        <f t="shared" si="43"/>
        <v>0</v>
      </c>
      <c r="I70" s="13">
        <f t="shared" si="43"/>
        <v>0</v>
      </c>
      <c r="J70" s="13">
        <f t="shared" si="43"/>
        <v>0</v>
      </c>
      <c r="K70" s="13">
        <f t="shared" si="43"/>
        <v>0</v>
      </c>
      <c r="L70" s="13">
        <f t="shared" si="43"/>
        <v>0</v>
      </c>
      <c r="M70" s="13">
        <f t="shared" si="43"/>
        <v>0</v>
      </c>
      <c r="N70" s="13">
        <f t="shared" si="43"/>
        <v>0</v>
      </c>
      <c r="O70" s="13">
        <f t="shared" si="43"/>
        <v>0</v>
      </c>
      <c r="P70" s="554"/>
      <c r="Q70" s="555"/>
      <c r="R70" s="547"/>
    </row>
    <row r="71" spans="1:18" ht="15.75" hidden="1" x14ac:dyDescent="0.25">
      <c r="A71" s="59" t="s">
        <v>159</v>
      </c>
      <c r="B71" s="41" t="s">
        <v>160</v>
      </c>
      <c r="C71" s="553">
        <v>0</v>
      </c>
      <c r="D71" s="13">
        <f t="shared" si="43"/>
        <v>0</v>
      </c>
      <c r="E71" s="13">
        <f t="shared" si="43"/>
        <v>0</v>
      </c>
      <c r="F71" s="13">
        <f t="shared" si="43"/>
        <v>0</v>
      </c>
      <c r="G71" s="13">
        <f t="shared" si="43"/>
        <v>0</v>
      </c>
      <c r="H71" s="13">
        <f t="shared" si="43"/>
        <v>0</v>
      </c>
      <c r="I71" s="13">
        <f t="shared" si="43"/>
        <v>0</v>
      </c>
      <c r="J71" s="13">
        <f t="shared" si="43"/>
        <v>0</v>
      </c>
      <c r="K71" s="13">
        <f t="shared" si="43"/>
        <v>0</v>
      </c>
      <c r="L71" s="13">
        <f t="shared" si="43"/>
        <v>0</v>
      </c>
      <c r="M71" s="13">
        <f t="shared" si="43"/>
        <v>0</v>
      </c>
      <c r="N71" s="13">
        <f t="shared" si="43"/>
        <v>0</v>
      </c>
      <c r="O71" s="13">
        <f t="shared" si="43"/>
        <v>0</v>
      </c>
      <c r="P71" s="554"/>
      <c r="Q71" s="555"/>
      <c r="R71" s="547"/>
    </row>
    <row r="72" spans="1:18" s="558" customFormat="1" ht="15.75" x14ac:dyDescent="0.25">
      <c r="A72" s="533" t="s">
        <v>161</v>
      </c>
      <c r="B72" s="74" t="s">
        <v>162</v>
      </c>
      <c r="C72" s="535">
        <v>129349</v>
      </c>
      <c r="D72" s="535">
        <f t="shared" ref="D72:O72" si="44">+D70+D69+D68+D67+D66+D65+D64+D63</f>
        <v>40849</v>
      </c>
      <c r="E72" s="535">
        <f t="shared" si="44"/>
        <v>0</v>
      </c>
      <c r="F72" s="535">
        <f t="shared" si="44"/>
        <v>0</v>
      </c>
      <c r="G72" s="535">
        <f t="shared" si="44"/>
        <v>0</v>
      </c>
      <c r="H72" s="535">
        <f t="shared" si="44"/>
        <v>0</v>
      </c>
      <c r="I72" s="535">
        <f t="shared" si="44"/>
        <v>0</v>
      </c>
      <c r="J72" s="535">
        <f t="shared" si="44"/>
        <v>0</v>
      </c>
      <c r="K72" s="535">
        <f t="shared" si="44"/>
        <v>0</v>
      </c>
      <c r="L72" s="535">
        <f t="shared" si="44"/>
        <v>0</v>
      </c>
      <c r="M72" s="535">
        <f t="shared" si="44"/>
        <v>0</v>
      </c>
      <c r="N72" s="535">
        <f t="shared" si="44"/>
        <v>0</v>
      </c>
      <c r="O72" s="535">
        <f t="shared" si="44"/>
        <v>88500</v>
      </c>
      <c r="P72" s="554"/>
      <c r="Q72" s="556"/>
      <c r="R72" s="557"/>
    </row>
    <row r="73" spans="1:18" ht="15.75" hidden="1" x14ac:dyDescent="0.25">
      <c r="A73" s="59" t="s">
        <v>163</v>
      </c>
      <c r="B73" s="41" t="s">
        <v>164</v>
      </c>
      <c r="C73" s="553">
        <v>0</v>
      </c>
      <c r="D73" s="13">
        <f t="shared" ref="D73:O73" si="45">+ROUND($C$73/12,0)</f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0</v>
      </c>
      <c r="L73" s="13">
        <f t="shared" si="45"/>
        <v>0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554"/>
      <c r="Q73" s="555"/>
      <c r="R73" s="547"/>
    </row>
    <row r="74" spans="1:18" ht="15.75" hidden="1" x14ac:dyDescent="0.25">
      <c r="A74" s="54" t="s">
        <v>165</v>
      </c>
      <c r="B74" s="41" t="s">
        <v>166</v>
      </c>
      <c r="C74" s="553">
        <v>0</v>
      </c>
      <c r="D74" s="13">
        <f t="shared" ref="D74:O75" si="46">+ROUND($C$74/12,0)</f>
        <v>0</v>
      </c>
      <c r="E74" s="13">
        <f t="shared" si="46"/>
        <v>0</v>
      </c>
      <c r="F74" s="13">
        <f t="shared" si="46"/>
        <v>0</v>
      </c>
      <c r="G74" s="13">
        <f t="shared" si="46"/>
        <v>0</v>
      </c>
      <c r="H74" s="13">
        <f t="shared" si="46"/>
        <v>0</v>
      </c>
      <c r="I74" s="13">
        <f t="shared" si="46"/>
        <v>0</v>
      </c>
      <c r="J74" s="13">
        <f t="shared" si="46"/>
        <v>0</v>
      </c>
      <c r="K74" s="13">
        <f t="shared" si="46"/>
        <v>0</v>
      </c>
      <c r="L74" s="13">
        <f t="shared" si="46"/>
        <v>0</v>
      </c>
      <c r="M74" s="13">
        <f t="shared" si="46"/>
        <v>0</v>
      </c>
      <c r="N74" s="13">
        <f t="shared" si="46"/>
        <v>0</v>
      </c>
      <c r="O74" s="13">
        <f t="shared" si="46"/>
        <v>0</v>
      </c>
      <c r="P74" s="554"/>
      <c r="Q74" s="555"/>
      <c r="R74" s="547"/>
    </row>
    <row r="75" spans="1:18" ht="15.75" hidden="1" x14ac:dyDescent="0.25">
      <c r="A75" s="54" t="s">
        <v>167</v>
      </c>
      <c r="B75" s="41" t="s">
        <v>168</v>
      </c>
      <c r="C75" s="553">
        <v>0</v>
      </c>
      <c r="D75" s="13">
        <f t="shared" si="46"/>
        <v>0</v>
      </c>
      <c r="E75" s="13">
        <f t="shared" si="46"/>
        <v>0</v>
      </c>
      <c r="F75" s="13">
        <f t="shared" si="46"/>
        <v>0</v>
      </c>
      <c r="G75" s="13">
        <f t="shared" si="46"/>
        <v>0</v>
      </c>
      <c r="H75" s="13">
        <f t="shared" si="46"/>
        <v>0</v>
      </c>
      <c r="I75" s="13">
        <f t="shared" si="46"/>
        <v>0</v>
      </c>
      <c r="J75" s="13">
        <f t="shared" si="46"/>
        <v>0</v>
      </c>
      <c r="K75" s="13">
        <f t="shared" si="46"/>
        <v>0</v>
      </c>
      <c r="L75" s="13">
        <f t="shared" si="46"/>
        <v>0</v>
      </c>
      <c r="M75" s="13">
        <f t="shared" si="46"/>
        <v>0</v>
      </c>
      <c r="N75" s="13">
        <f t="shared" si="46"/>
        <v>0</v>
      </c>
      <c r="O75" s="13">
        <f t="shared" si="46"/>
        <v>0</v>
      </c>
      <c r="P75" s="554"/>
      <c r="Q75" s="555"/>
      <c r="R75" s="547"/>
    </row>
    <row r="76" spans="1:18" s="558" customFormat="1" ht="15.75" x14ac:dyDescent="0.25">
      <c r="A76" s="533" t="s">
        <v>169</v>
      </c>
      <c r="B76" s="74" t="s">
        <v>170</v>
      </c>
      <c r="C76" s="535">
        <v>129349</v>
      </c>
      <c r="D76" s="535">
        <f>SUM(D72:D75)</f>
        <v>40849</v>
      </c>
      <c r="E76" s="535">
        <f t="shared" ref="E76:O76" si="47">+E74+E73+E72</f>
        <v>0</v>
      </c>
      <c r="F76" s="535">
        <f t="shared" si="47"/>
        <v>0</v>
      </c>
      <c r="G76" s="535">
        <f t="shared" si="47"/>
        <v>0</v>
      </c>
      <c r="H76" s="535">
        <f t="shared" si="47"/>
        <v>0</v>
      </c>
      <c r="I76" s="535">
        <f t="shared" si="47"/>
        <v>0</v>
      </c>
      <c r="J76" s="535">
        <f t="shared" si="47"/>
        <v>0</v>
      </c>
      <c r="K76" s="535">
        <f t="shared" si="47"/>
        <v>0</v>
      </c>
      <c r="L76" s="535">
        <f t="shared" si="47"/>
        <v>0</v>
      </c>
      <c r="M76" s="535">
        <f t="shared" si="47"/>
        <v>0</v>
      </c>
      <c r="N76" s="535">
        <f t="shared" si="47"/>
        <v>0</v>
      </c>
      <c r="O76" s="535">
        <f t="shared" si="47"/>
        <v>88500</v>
      </c>
      <c r="P76" s="554"/>
      <c r="Q76" s="555"/>
      <c r="R76" s="557"/>
    </row>
    <row r="77" spans="1:18" s="558" customFormat="1" ht="15.75" x14ac:dyDescent="0.25">
      <c r="A77" s="536" t="s">
        <v>171</v>
      </c>
      <c r="B77" s="536" t="s">
        <v>172</v>
      </c>
      <c r="C77" s="76">
        <v>6142172</v>
      </c>
      <c r="D77" s="76">
        <f t="shared" ref="D77:O77" si="48">+D59+D76</f>
        <v>370268</v>
      </c>
      <c r="E77" s="76">
        <f t="shared" si="48"/>
        <v>312754</v>
      </c>
      <c r="F77" s="76">
        <f t="shared" si="48"/>
        <v>310222</v>
      </c>
      <c r="G77" s="76">
        <f t="shared" si="48"/>
        <v>474143</v>
      </c>
      <c r="H77" s="76">
        <f t="shared" si="48"/>
        <v>550537</v>
      </c>
      <c r="I77" s="76">
        <f t="shared" si="48"/>
        <v>542652</v>
      </c>
      <c r="J77" s="76">
        <f t="shared" si="48"/>
        <v>470451</v>
      </c>
      <c r="K77" s="76">
        <f t="shared" si="48"/>
        <v>552637</v>
      </c>
      <c r="L77" s="76">
        <f t="shared" si="48"/>
        <v>619451</v>
      </c>
      <c r="M77" s="76">
        <f t="shared" si="48"/>
        <v>589259</v>
      </c>
      <c r="N77" s="76">
        <f t="shared" si="48"/>
        <v>554879</v>
      </c>
      <c r="O77" s="76">
        <f t="shared" si="48"/>
        <v>794919</v>
      </c>
      <c r="P77" s="554"/>
      <c r="Q77" s="555"/>
      <c r="R77" s="557"/>
    </row>
    <row r="78" spans="1:18" ht="15.75" hidden="1" x14ac:dyDescent="0.25">
      <c r="A78" s="2"/>
      <c r="B78" s="12"/>
      <c r="C78" s="553"/>
      <c r="D78" s="13"/>
      <c r="E78" s="560"/>
      <c r="F78" s="560"/>
      <c r="G78" s="560"/>
      <c r="H78" s="560"/>
      <c r="I78" s="560"/>
      <c r="J78" s="560"/>
      <c r="K78" s="560"/>
      <c r="L78" s="560"/>
      <c r="M78" s="560"/>
      <c r="N78" s="560"/>
      <c r="O78" s="560"/>
      <c r="P78" s="554"/>
      <c r="Q78" s="555"/>
      <c r="R78" s="547"/>
    </row>
    <row r="79" spans="1:18" s="552" customFormat="1" ht="31.5" x14ac:dyDescent="0.25">
      <c r="A79" s="8" t="s">
        <v>8</v>
      </c>
      <c r="B79" s="539" t="s">
        <v>33</v>
      </c>
      <c r="C79" s="539" t="s">
        <v>515</v>
      </c>
      <c r="D79" s="548" t="s">
        <v>879</v>
      </c>
      <c r="E79" s="549" t="s">
        <v>880</v>
      </c>
      <c r="F79" s="549" t="s">
        <v>881</v>
      </c>
      <c r="G79" s="549" t="s">
        <v>882</v>
      </c>
      <c r="H79" s="549" t="s">
        <v>883</v>
      </c>
      <c r="I79" s="549" t="s">
        <v>884</v>
      </c>
      <c r="J79" s="549" t="s">
        <v>885</v>
      </c>
      <c r="K79" s="549" t="s">
        <v>886</v>
      </c>
      <c r="L79" s="549" t="s">
        <v>887</v>
      </c>
      <c r="M79" s="549" t="s">
        <v>888</v>
      </c>
      <c r="N79" s="549" t="s">
        <v>889</v>
      </c>
      <c r="O79" s="549" t="s">
        <v>890</v>
      </c>
      <c r="P79" s="554"/>
      <c r="Q79" s="551"/>
      <c r="R79" s="551"/>
    </row>
    <row r="80" spans="1:18" ht="15.75" x14ac:dyDescent="0.25">
      <c r="A80" s="39" t="s">
        <v>174</v>
      </c>
      <c r="B80" s="52" t="s">
        <v>175</v>
      </c>
      <c r="C80" s="553">
        <v>231083</v>
      </c>
      <c r="D80" s="13">
        <f>+ROUND($C$80*0.12,0)</f>
        <v>27730</v>
      </c>
      <c r="E80" s="13">
        <f t="shared" ref="E80:N80" si="49">+ROUND($C$80*0.08,0)</f>
        <v>18487</v>
      </c>
      <c r="F80" s="13">
        <f t="shared" si="49"/>
        <v>18487</v>
      </c>
      <c r="G80" s="13">
        <f t="shared" si="49"/>
        <v>18487</v>
      </c>
      <c r="H80" s="13">
        <f t="shared" si="49"/>
        <v>18487</v>
      </c>
      <c r="I80" s="13">
        <f t="shared" si="49"/>
        <v>18487</v>
      </c>
      <c r="J80" s="13">
        <f t="shared" si="49"/>
        <v>18487</v>
      </c>
      <c r="K80" s="13">
        <f t="shared" si="49"/>
        <v>18487</v>
      </c>
      <c r="L80" s="13">
        <f t="shared" si="49"/>
        <v>18487</v>
      </c>
      <c r="M80" s="13">
        <f t="shared" si="49"/>
        <v>18487</v>
      </c>
      <c r="N80" s="13">
        <f t="shared" si="49"/>
        <v>18487</v>
      </c>
      <c r="O80" s="13">
        <f>+ROUND($C$80*0.08,0)-4</f>
        <v>18483</v>
      </c>
      <c r="P80" s="554"/>
      <c r="Q80" s="555"/>
      <c r="R80" s="547"/>
    </row>
    <row r="81" spans="1:18" ht="15.75" x14ac:dyDescent="0.25">
      <c r="A81" s="41" t="s">
        <v>176</v>
      </c>
      <c r="B81" s="52" t="s">
        <v>177</v>
      </c>
      <c r="C81" s="553">
        <v>188115</v>
      </c>
      <c r="D81" s="13">
        <f>+ROUND($C$81*0.12,0)</f>
        <v>22574</v>
      </c>
      <c r="E81" s="13">
        <f t="shared" ref="E81:N81" si="50">+ROUND($C$81*0.08,0)</f>
        <v>15049</v>
      </c>
      <c r="F81" s="13">
        <f t="shared" si="50"/>
        <v>15049</v>
      </c>
      <c r="G81" s="13">
        <f t="shared" si="50"/>
        <v>15049</v>
      </c>
      <c r="H81" s="13">
        <f t="shared" si="50"/>
        <v>15049</v>
      </c>
      <c r="I81" s="13">
        <f t="shared" si="50"/>
        <v>15049</v>
      </c>
      <c r="J81" s="13">
        <f t="shared" si="50"/>
        <v>15049</v>
      </c>
      <c r="K81" s="13">
        <f t="shared" si="50"/>
        <v>15049</v>
      </c>
      <c r="L81" s="13">
        <f t="shared" si="50"/>
        <v>15049</v>
      </c>
      <c r="M81" s="13">
        <f t="shared" si="50"/>
        <v>15049</v>
      </c>
      <c r="N81" s="13">
        <f t="shared" si="50"/>
        <v>15049</v>
      </c>
      <c r="O81" s="13">
        <f>+ROUND($C$81*0.08,0)+2</f>
        <v>15051</v>
      </c>
      <c r="P81" s="554"/>
      <c r="Q81" s="555"/>
      <c r="R81" s="547"/>
    </row>
    <row r="82" spans="1:18" ht="15.75" x14ac:dyDescent="0.25">
      <c r="A82" s="41" t="s">
        <v>876</v>
      </c>
      <c r="B82" s="52" t="s">
        <v>179</v>
      </c>
      <c r="C82" s="553">
        <v>613312</v>
      </c>
      <c r="D82" s="13">
        <f>+ROUND($C$82*0.12,0)</f>
        <v>73597</v>
      </c>
      <c r="E82" s="13">
        <f t="shared" ref="E82:N82" si="51">+ROUND($C$82*0.08,0)</f>
        <v>49065</v>
      </c>
      <c r="F82" s="13">
        <f t="shared" si="51"/>
        <v>49065</v>
      </c>
      <c r="G82" s="13">
        <f t="shared" si="51"/>
        <v>49065</v>
      </c>
      <c r="H82" s="13">
        <f t="shared" si="51"/>
        <v>49065</v>
      </c>
      <c r="I82" s="13">
        <f t="shared" si="51"/>
        <v>49065</v>
      </c>
      <c r="J82" s="13">
        <f t="shared" si="51"/>
        <v>49065</v>
      </c>
      <c r="K82" s="13">
        <f t="shared" si="51"/>
        <v>49065</v>
      </c>
      <c r="L82" s="13">
        <f t="shared" si="51"/>
        <v>49065</v>
      </c>
      <c r="M82" s="13">
        <f t="shared" si="51"/>
        <v>49065</v>
      </c>
      <c r="N82" s="13">
        <f t="shared" si="51"/>
        <v>49065</v>
      </c>
      <c r="O82" s="13">
        <f>+ROUND($C$82*0.08,0)</f>
        <v>49065</v>
      </c>
      <c r="P82" s="554"/>
      <c r="Q82" s="555"/>
      <c r="R82" s="547"/>
    </row>
    <row r="83" spans="1:18" ht="15.75" x14ac:dyDescent="0.25">
      <c r="A83" s="41" t="s">
        <v>180</v>
      </c>
      <c r="B83" s="52" t="s">
        <v>181</v>
      </c>
      <c r="C83" s="553">
        <v>13685</v>
      </c>
      <c r="D83" s="13">
        <f>+ROUND($C$83*0.12,0)</f>
        <v>1642</v>
      </c>
      <c r="E83" s="13">
        <f t="shared" ref="E83:N83" si="52">+ROUND($C$83*0.08,0)</f>
        <v>1095</v>
      </c>
      <c r="F83" s="13">
        <f t="shared" si="52"/>
        <v>1095</v>
      </c>
      <c r="G83" s="13">
        <f t="shared" si="52"/>
        <v>1095</v>
      </c>
      <c r="H83" s="13">
        <f t="shared" si="52"/>
        <v>1095</v>
      </c>
      <c r="I83" s="13">
        <f t="shared" si="52"/>
        <v>1095</v>
      </c>
      <c r="J83" s="13">
        <f t="shared" si="52"/>
        <v>1095</v>
      </c>
      <c r="K83" s="13">
        <f t="shared" si="52"/>
        <v>1095</v>
      </c>
      <c r="L83" s="13">
        <f t="shared" si="52"/>
        <v>1095</v>
      </c>
      <c r="M83" s="13">
        <f t="shared" si="52"/>
        <v>1095</v>
      </c>
      <c r="N83" s="13">
        <f t="shared" si="52"/>
        <v>1095</v>
      </c>
      <c r="O83" s="13">
        <f>+ROUND($C$83*0.08,0)-2</f>
        <v>1093</v>
      </c>
      <c r="P83" s="554"/>
      <c r="Q83" s="555"/>
      <c r="R83" s="547"/>
    </row>
    <row r="84" spans="1:18" ht="15.75" x14ac:dyDescent="0.25">
      <c r="A84" s="41" t="s">
        <v>182</v>
      </c>
      <c r="B84" s="52" t="s">
        <v>183</v>
      </c>
      <c r="C84" s="553">
        <v>178684</v>
      </c>
      <c r="D84" s="13"/>
      <c r="E84" s="13"/>
      <c r="F84" s="13"/>
      <c r="G84" s="13">
        <v>68000</v>
      </c>
      <c r="H84" s="13"/>
      <c r="I84" s="13"/>
      <c r="J84" s="13"/>
      <c r="K84" s="13"/>
      <c r="L84" s="13"/>
      <c r="M84" s="13"/>
      <c r="N84" s="13">
        <v>46559</v>
      </c>
      <c r="O84" s="13">
        <f>62294+900+931</f>
        <v>64125</v>
      </c>
      <c r="P84" s="554"/>
      <c r="Q84" s="555"/>
      <c r="R84" s="547"/>
    </row>
    <row r="85" spans="1:18" ht="15.75" x14ac:dyDescent="0.25">
      <c r="A85" s="41" t="s">
        <v>184</v>
      </c>
      <c r="B85" s="52" t="s">
        <v>185</v>
      </c>
      <c r="C85" s="553">
        <v>0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554"/>
      <c r="Q85" s="555"/>
      <c r="R85" s="547"/>
    </row>
    <row r="86" spans="1:18" s="558" customFormat="1" ht="15.75" x14ac:dyDescent="0.25">
      <c r="A86" s="74" t="s">
        <v>186</v>
      </c>
      <c r="B86" s="75" t="s">
        <v>187</v>
      </c>
      <c r="C86" s="76">
        <v>1224879</v>
      </c>
      <c r="D86" s="76">
        <f t="shared" ref="D86:O86" si="53">SUM(D80:D85)</f>
        <v>125543</v>
      </c>
      <c r="E86" s="76">
        <f t="shared" si="53"/>
        <v>83696</v>
      </c>
      <c r="F86" s="76">
        <f t="shared" si="53"/>
        <v>83696</v>
      </c>
      <c r="G86" s="76">
        <f t="shared" si="53"/>
        <v>151696</v>
      </c>
      <c r="H86" s="76">
        <f t="shared" si="53"/>
        <v>83696</v>
      </c>
      <c r="I86" s="76">
        <f t="shared" si="53"/>
        <v>83696</v>
      </c>
      <c r="J86" s="76">
        <f t="shared" si="53"/>
        <v>83696</v>
      </c>
      <c r="K86" s="76">
        <f t="shared" si="53"/>
        <v>83696</v>
      </c>
      <c r="L86" s="76">
        <f t="shared" si="53"/>
        <v>83696</v>
      </c>
      <c r="M86" s="76">
        <f t="shared" si="53"/>
        <v>83696</v>
      </c>
      <c r="N86" s="76">
        <f t="shared" si="53"/>
        <v>130255</v>
      </c>
      <c r="O86" s="76">
        <f t="shared" si="53"/>
        <v>147817</v>
      </c>
      <c r="P86" s="554"/>
      <c r="Q86" s="556"/>
      <c r="R86" s="557"/>
    </row>
    <row r="87" spans="1:18" ht="15.75" x14ac:dyDescent="0.25">
      <c r="A87" s="41" t="s">
        <v>188</v>
      </c>
      <c r="B87" s="52" t="s">
        <v>189</v>
      </c>
      <c r="C87" s="553">
        <v>0</v>
      </c>
      <c r="D87" s="13"/>
      <c r="E87" s="560"/>
      <c r="F87" s="560"/>
      <c r="G87" s="560"/>
      <c r="H87" s="560"/>
      <c r="I87" s="560"/>
      <c r="J87" s="560"/>
      <c r="K87" s="560"/>
      <c r="L87" s="560"/>
      <c r="M87" s="560"/>
      <c r="N87" s="560"/>
      <c r="O87" s="560"/>
      <c r="P87" s="554"/>
      <c r="Q87" s="555"/>
      <c r="R87" s="547"/>
    </row>
    <row r="88" spans="1:18" ht="15.75" x14ac:dyDescent="0.25">
      <c r="A88" s="41" t="s">
        <v>574</v>
      </c>
      <c r="B88" s="52" t="s">
        <v>191</v>
      </c>
      <c r="C88" s="553">
        <v>0</v>
      </c>
      <c r="D88" s="13"/>
      <c r="E88" s="560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54"/>
      <c r="Q88" s="555"/>
      <c r="R88" s="547"/>
    </row>
    <row r="89" spans="1:18" ht="15.75" x14ac:dyDescent="0.25">
      <c r="A89" s="41" t="s">
        <v>575</v>
      </c>
      <c r="B89" s="52" t="s">
        <v>193</v>
      </c>
      <c r="C89" s="553">
        <v>0</v>
      </c>
      <c r="D89" s="13"/>
      <c r="E89" s="560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54"/>
      <c r="Q89" s="555"/>
      <c r="R89" s="547"/>
    </row>
    <row r="90" spans="1:18" ht="15.75" x14ac:dyDescent="0.25">
      <c r="A90" s="41" t="s">
        <v>576</v>
      </c>
      <c r="B90" s="52" t="s">
        <v>195</v>
      </c>
      <c r="C90" s="553">
        <v>0</v>
      </c>
      <c r="D90" s="13"/>
      <c r="E90" s="560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54"/>
      <c r="Q90" s="555"/>
      <c r="R90" s="547"/>
    </row>
    <row r="91" spans="1:18" ht="15.75" x14ac:dyDescent="0.25">
      <c r="A91" s="41" t="s">
        <v>196</v>
      </c>
      <c r="B91" s="52" t="s">
        <v>197</v>
      </c>
      <c r="C91" s="553">
        <v>942760</v>
      </c>
      <c r="D91" s="13"/>
      <c r="E91" s="13">
        <f>28000</f>
        <v>28000</v>
      </c>
      <c r="F91" s="13"/>
      <c r="G91" s="13">
        <v>14206</v>
      </c>
      <c r="H91" s="13">
        <v>34949</v>
      </c>
      <c r="I91" s="13">
        <v>88940</v>
      </c>
      <c r="J91" s="13"/>
      <c r="K91" s="13">
        <v>167364</v>
      </c>
      <c r="L91" s="13">
        <v>95938</v>
      </c>
      <c r="M91" s="13">
        <v>175000</v>
      </c>
      <c r="N91" s="13">
        <v>159361</v>
      </c>
      <c r="O91" s="13">
        <v>179002</v>
      </c>
      <c r="P91" s="554"/>
      <c r="Q91" s="555"/>
      <c r="R91" s="547"/>
    </row>
    <row r="92" spans="1:18" s="558" customFormat="1" ht="15.75" x14ac:dyDescent="0.25">
      <c r="A92" s="74" t="s">
        <v>198</v>
      </c>
      <c r="B92" s="75" t="s">
        <v>199</v>
      </c>
      <c r="C92" s="76">
        <v>2167639</v>
      </c>
      <c r="D92" s="76">
        <f t="shared" ref="D92:O92" si="54">+D91+D90+D89+D88+D87+D86</f>
        <v>125543</v>
      </c>
      <c r="E92" s="76">
        <f t="shared" si="54"/>
        <v>111696</v>
      </c>
      <c r="F92" s="76">
        <f t="shared" si="54"/>
        <v>83696</v>
      </c>
      <c r="G92" s="76">
        <f t="shared" si="54"/>
        <v>165902</v>
      </c>
      <c r="H92" s="76">
        <f t="shared" si="54"/>
        <v>118645</v>
      </c>
      <c r="I92" s="76">
        <f t="shared" si="54"/>
        <v>172636</v>
      </c>
      <c r="J92" s="76">
        <f t="shared" si="54"/>
        <v>83696</v>
      </c>
      <c r="K92" s="76">
        <f t="shared" si="54"/>
        <v>251060</v>
      </c>
      <c r="L92" s="76">
        <f t="shared" si="54"/>
        <v>179634</v>
      </c>
      <c r="M92" s="76">
        <f t="shared" si="54"/>
        <v>258696</v>
      </c>
      <c r="N92" s="76">
        <f t="shared" si="54"/>
        <v>289616</v>
      </c>
      <c r="O92" s="76">
        <f t="shared" si="54"/>
        <v>326819</v>
      </c>
      <c r="P92" s="554"/>
      <c r="Q92" s="555"/>
      <c r="R92" s="557"/>
    </row>
    <row r="93" spans="1:18" ht="15.75" x14ac:dyDescent="0.25">
      <c r="A93" s="44" t="s">
        <v>200</v>
      </c>
      <c r="B93" s="53" t="s">
        <v>201</v>
      </c>
      <c r="C93" s="553">
        <v>1192910</v>
      </c>
      <c r="D93" s="14"/>
      <c r="E93" s="14"/>
      <c r="F93" s="14">
        <v>126900</v>
      </c>
      <c r="G93" s="14">
        <v>216500</v>
      </c>
      <c r="H93" s="14">
        <f>+ROUND($C$93/12,0)-53824+60000</f>
        <v>105585</v>
      </c>
      <c r="I93" s="14">
        <f>+ROUND($C$93/12,0)-38050</f>
        <v>61359</v>
      </c>
      <c r="J93" s="14">
        <f>+ROUND($C$93/12,0)+26071</f>
        <v>125480</v>
      </c>
      <c r="K93" s="14"/>
      <c r="L93" s="14">
        <v>245648</v>
      </c>
      <c r="M93" s="14"/>
      <c r="N93" s="14">
        <v>113191</v>
      </c>
      <c r="O93" s="14">
        <v>198247</v>
      </c>
      <c r="P93" s="554"/>
      <c r="Q93" s="555"/>
      <c r="R93" s="547"/>
    </row>
    <row r="94" spans="1:18" ht="15.75" x14ac:dyDescent="0.25">
      <c r="A94" s="41" t="s">
        <v>202</v>
      </c>
      <c r="B94" s="52" t="s">
        <v>203</v>
      </c>
      <c r="C94" s="553">
        <v>0</v>
      </c>
      <c r="D94" s="13"/>
      <c r="E94" s="560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54"/>
      <c r="Q94" s="555"/>
      <c r="R94" s="547"/>
    </row>
    <row r="95" spans="1:18" ht="15.75" x14ac:dyDescent="0.25">
      <c r="A95" s="41" t="s">
        <v>204</v>
      </c>
      <c r="B95" s="52" t="s">
        <v>205</v>
      </c>
      <c r="C95" s="553">
        <v>0</v>
      </c>
      <c r="D95" s="13"/>
      <c r="E95" s="560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54"/>
      <c r="Q95" s="555"/>
      <c r="R95" s="547"/>
    </row>
    <row r="96" spans="1:18" ht="15.75" x14ac:dyDescent="0.25">
      <c r="A96" s="41" t="s">
        <v>206</v>
      </c>
      <c r="B96" s="52" t="s">
        <v>207</v>
      </c>
      <c r="C96" s="553">
        <v>0</v>
      </c>
      <c r="D96" s="13"/>
      <c r="E96" s="560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54"/>
      <c r="Q96" s="555"/>
      <c r="R96" s="547"/>
    </row>
    <row r="97" spans="1:18" ht="15.75" x14ac:dyDescent="0.25">
      <c r="A97" s="41" t="s">
        <v>208</v>
      </c>
      <c r="B97" s="52" t="s">
        <v>209</v>
      </c>
      <c r="C97" s="553">
        <v>122800</v>
      </c>
      <c r="D97" s="13"/>
      <c r="E97" s="13">
        <f>+ROUND($C$97/12,0)*2</f>
        <v>20466</v>
      </c>
      <c r="F97" s="13">
        <f>+ROUND($C$97/12,0)*2-507</f>
        <v>19959</v>
      </c>
      <c r="G97" s="13">
        <f>+ROUND($C$97/12,0)</f>
        <v>10233</v>
      </c>
      <c r="H97" s="13">
        <f>+ROUND($C$97/12,0)</f>
        <v>10233</v>
      </c>
      <c r="I97" s="13">
        <f>+ROUND($C$97/12,0)*2+507</f>
        <v>20973</v>
      </c>
      <c r="J97" s="13"/>
      <c r="K97" s="13"/>
      <c r="L97" s="13">
        <f>+ROUND($C$97/12,0)*2</f>
        <v>20466</v>
      </c>
      <c r="M97" s="13">
        <f>+ROUND($C$97/12,0)+4</f>
        <v>10237</v>
      </c>
      <c r="N97" s="13"/>
      <c r="O97" s="13">
        <f>+ROUND($C$97/12,0)</f>
        <v>10233</v>
      </c>
      <c r="P97" s="554"/>
      <c r="Q97" s="555"/>
      <c r="R97" s="547"/>
    </row>
    <row r="98" spans="1:18" ht="15.75" x14ac:dyDescent="0.25">
      <c r="A98" s="41" t="s">
        <v>210</v>
      </c>
      <c r="B98" s="52" t="s">
        <v>211</v>
      </c>
      <c r="C98" s="553">
        <v>379000</v>
      </c>
      <c r="D98" s="13"/>
      <c r="E98" s="13">
        <f>+ROUND($C$98/12,0)*2</f>
        <v>63166</v>
      </c>
      <c r="F98" s="13">
        <f>+ROUND($C$98/12,0)*2</f>
        <v>63166</v>
      </c>
      <c r="G98" s="13">
        <f>+ROUND($C$98/12,0)</f>
        <v>31583</v>
      </c>
      <c r="H98" s="13">
        <f>+ROUND($C$98/12,0)*2</f>
        <v>63166</v>
      </c>
      <c r="I98" s="13">
        <f>+ROUND($C$98/12,0)*2</f>
        <v>63166</v>
      </c>
      <c r="J98" s="13"/>
      <c r="K98" s="13"/>
      <c r="L98" s="13">
        <f>+ROUND($C$98/12,0)*2</f>
        <v>63166</v>
      </c>
      <c r="M98" s="13">
        <f>+ROUND($C$98/12,0)+4</f>
        <v>31587</v>
      </c>
      <c r="N98" s="13"/>
      <c r="O98" s="13"/>
      <c r="P98" s="554"/>
      <c r="Q98" s="555"/>
      <c r="R98" s="547"/>
    </row>
    <row r="99" spans="1:18" ht="15.75" x14ac:dyDescent="0.25">
      <c r="A99" s="41" t="s">
        <v>212</v>
      </c>
      <c r="B99" s="52" t="s">
        <v>213</v>
      </c>
      <c r="C99" s="553">
        <v>500</v>
      </c>
      <c r="D99" s="13">
        <f t="shared" ref="D99:N99" si="55">+ROUND($C$99/12,0)</f>
        <v>42</v>
      </c>
      <c r="E99" s="13">
        <f t="shared" si="55"/>
        <v>42</v>
      </c>
      <c r="F99" s="13">
        <f t="shared" si="55"/>
        <v>42</v>
      </c>
      <c r="G99" s="13">
        <f t="shared" si="55"/>
        <v>42</v>
      </c>
      <c r="H99" s="13">
        <f t="shared" si="55"/>
        <v>42</v>
      </c>
      <c r="I99" s="13">
        <f t="shared" si="55"/>
        <v>42</v>
      </c>
      <c r="J99" s="13">
        <f t="shared" si="55"/>
        <v>42</v>
      </c>
      <c r="K99" s="13">
        <f t="shared" si="55"/>
        <v>42</v>
      </c>
      <c r="L99" s="13">
        <f t="shared" si="55"/>
        <v>42</v>
      </c>
      <c r="M99" s="13">
        <f t="shared" si="55"/>
        <v>42</v>
      </c>
      <c r="N99" s="13">
        <f t="shared" si="55"/>
        <v>42</v>
      </c>
      <c r="O99" s="13">
        <f>+ROUND($C$99/12,0)-4</f>
        <v>38</v>
      </c>
      <c r="P99" s="554"/>
      <c r="Q99" s="555"/>
      <c r="R99" s="547"/>
    </row>
    <row r="100" spans="1:18" s="558" customFormat="1" ht="15.75" x14ac:dyDescent="0.25">
      <c r="A100" s="74" t="s">
        <v>214</v>
      </c>
      <c r="B100" s="75" t="s">
        <v>215</v>
      </c>
      <c r="C100" s="76">
        <v>502300</v>
      </c>
      <c r="D100" s="76">
        <f t="shared" ref="D100:O100" si="56">SUM(D94:D99)</f>
        <v>42</v>
      </c>
      <c r="E100" s="76">
        <f t="shared" si="56"/>
        <v>83674</v>
      </c>
      <c r="F100" s="76">
        <f t="shared" si="56"/>
        <v>83167</v>
      </c>
      <c r="G100" s="76">
        <f t="shared" si="56"/>
        <v>41858</v>
      </c>
      <c r="H100" s="76">
        <f t="shared" si="56"/>
        <v>73441</v>
      </c>
      <c r="I100" s="76">
        <f t="shared" si="56"/>
        <v>84181</v>
      </c>
      <c r="J100" s="76">
        <f t="shared" si="56"/>
        <v>42</v>
      </c>
      <c r="K100" s="76">
        <f t="shared" si="56"/>
        <v>42</v>
      </c>
      <c r="L100" s="76">
        <f t="shared" si="56"/>
        <v>83674</v>
      </c>
      <c r="M100" s="76">
        <f t="shared" si="56"/>
        <v>41866</v>
      </c>
      <c r="N100" s="76">
        <f t="shared" si="56"/>
        <v>42</v>
      </c>
      <c r="O100" s="76">
        <f t="shared" si="56"/>
        <v>10271</v>
      </c>
      <c r="P100" s="554"/>
      <c r="Q100" s="555"/>
      <c r="R100" s="557"/>
    </row>
    <row r="101" spans="1:18" ht="15.75" x14ac:dyDescent="0.25">
      <c r="A101" s="54" t="s">
        <v>216</v>
      </c>
      <c r="B101" s="52" t="s">
        <v>217</v>
      </c>
      <c r="C101" s="553">
        <v>1044</v>
      </c>
      <c r="D101" s="13">
        <f t="shared" ref="D101:N101" si="57">+ROUND($C$101/12,0)</f>
        <v>87</v>
      </c>
      <c r="E101" s="13">
        <f t="shared" si="57"/>
        <v>87</v>
      </c>
      <c r="F101" s="13"/>
      <c r="G101" s="13">
        <f t="shared" si="57"/>
        <v>87</v>
      </c>
      <c r="H101" s="13">
        <f>+ROUND($C$101/12,0)*2</f>
        <v>174</v>
      </c>
      <c r="I101" s="13">
        <f t="shared" si="57"/>
        <v>87</v>
      </c>
      <c r="J101" s="13">
        <f t="shared" si="57"/>
        <v>87</v>
      </c>
      <c r="K101" s="13">
        <f t="shared" si="57"/>
        <v>87</v>
      </c>
      <c r="L101" s="13">
        <f t="shared" si="57"/>
        <v>87</v>
      </c>
      <c r="M101" s="13">
        <f t="shared" si="57"/>
        <v>87</v>
      </c>
      <c r="N101" s="13">
        <f t="shared" si="57"/>
        <v>87</v>
      </c>
      <c r="O101" s="13">
        <f>+ROUND($C$101/12,0)</f>
        <v>87</v>
      </c>
      <c r="P101" s="554"/>
      <c r="Q101" s="555"/>
      <c r="R101" s="547"/>
    </row>
    <row r="102" spans="1:18" ht="15.75" x14ac:dyDescent="0.25">
      <c r="A102" s="54" t="s">
        <v>218</v>
      </c>
      <c r="B102" s="52" t="s">
        <v>219</v>
      </c>
      <c r="C102" s="553">
        <v>288073</v>
      </c>
      <c r="D102" s="13">
        <f>+ROUND($C$102/12,0)*2</f>
        <v>48012</v>
      </c>
      <c r="E102" s="13">
        <f t="shared" ref="E102:N102" si="58">+ROUND($C$102/12,0)</f>
        <v>24006</v>
      </c>
      <c r="F102" s="13"/>
      <c r="G102" s="13"/>
      <c r="H102" s="13">
        <f>+ROUND($C$102/12,0)*2</f>
        <v>48012</v>
      </c>
      <c r="I102" s="13">
        <f t="shared" si="58"/>
        <v>24006</v>
      </c>
      <c r="J102" s="13">
        <f t="shared" si="58"/>
        <v>24006</v>
      </c>
      <c r="K102" s="13">
        <f t="shared" si="58"/>
        <v>24006</v>
      </c>
      <c r="L102" s="13">
        <f t="shared" si="58"/>
        <v>24006</v>
      </c>
      <c r="M102" s="13">
        <f t="shared" si="58"/>
        <v>24006</v>
      </c>
      <c r="N102" s="13">
        <f t="shared" si="58"/>
        <v>24006</v>
      </c>
      <c r="O102" s="13">
        <f>+ROUND($C$102/12,0)+1</f>
        <v>24007</v>
      </c>
      <c r="P102" s="554"/>
      <c r="Q102" s="555"/>
      <c r="R102" s="547"/>
    </row>
    <row r="103" spans="1:18" ht="15.75" x14ac:dyDescent="0.25">
      <c r="A103" s="54" t="s">
        <v>220</v>
      </c>
      <c r="B103" s="52" t="s">
        <v>221</v>
      </c>
      <c r="C103" s="553">
        <v>321</v>
      </c>
      <c r="D103" s="13">
        <f t="shared" ref="D103:N103" si="59">+ROUND($C$103/12,0)</f>
        <v>27</v>
      </c>
      <c r="E103" s="13">
        <f t="shared" si="59"/>
        <v>27</v>
      </c>
      <c r="F103" s="13"/>
      <c r="G103" s="13">
        <f t="shared" si="59"/>
        <v>27</v>
      </c>
      <c r="H103" s="13">
        <f>+ROUND($C$103/12,0)*2</f>
        <v>54</v>
      </c>
      <c r="I103" s="13">
        <f t="shared" si="59"/>
        <v>27</v>
      </c>
      <c r="J103" s="13">
        <f t="shared" si="59"/>
        <v>27</v>
      </c>
      <c r="K103" s="13">
        <f t="shared" si="59"/>
        <v>27</v>
      </c>
      <c r="L103" s="13">
        <f t="shared" si="59"/>
        <v>27</v>
      </c>
      <c r="M103" s="13">
        <f t="shared" si="59"/>
        <v>27</v>
      </c>
      <c r="N103" s="13">
        <f t="shared" si="59"/>
        <v>27</v>
      </c>
      <c r="O103" s="13">
        <f>+ROUND($C$103/12,0)-3</f>
        <v>24</v>
      </c>
      <c r="P103" s="554"/>
      <c r="Q103" s="555"/>
      <c r="R103" s="547"/>
    </row>
    <row r="104" spans="1:18" ht="15.75" x14ac:dyDescent="0.25">
      <c r="A104" s="54" t="s">
        <v>222</v>
      </c>
      <c r="B104" s="52" t="s">
        <v>223</v>
      </c>
      <c r="C104" s="553">
        <v>944</v>
      </c>
      <c r="D104" s="13">
        <f t="shared" ref="D104:N104" si="60">+ROUND($C$104/12,0)</f>
        <v>79</v>
      </c>
      <c r="E104" s="13">
        <f t="shared" si="60"/>
        <v>79</v>
      </c>
      <c r="F104" s="13"/>
      <c r="G104" s="13">
        <f t="shared" si="60"/>
        <v>79</v>
      </c>
      <c r="H104" s="13">
        <f>+ROUND($C$104/12,0)*2</f>
        <v>158</v>
      </c>
      <c r="I104" s="13">
        <f t="shared" si="60"/>
        <v>79</v>
      </c>
      <c r="J104" s="13">
        <f t="shared" si="60"/>
        <v>79</v>
      </c>
      <c r="K104" s="13">
        <f t="shared" si="60"/>
        <v>79</v>
      </c>
      <c r="L104" s="13">
        <f t="shared" si="60"/>
        <v>79</v>
      </c>
      <c r="M104" s="13">
        <f t="shared" si="60"/>
        <v>79</v>
      </c>
      <c r="N104" s="13">
        <f t="shared" si="60"/>
        <v>79</v>
      </c>
      <c r="O104" s="13">
        <f>+ROUND($C$104/12,0)-4</f>
        <v>75</v>
      </c>
      <c r="P104" s="554"/>
      <c r="Q104" s="555"/>
      <c r="R104" s="547"/>
    </row>
    <row r="105" spans="1:18" ht="15.75" x14ac:dyDescent="0.25">
      <c r="A105" s="54" t="s">
        <v>224</v>
      </c>
      <c r="B105" s="52" t="s">
        <v>225</v>
      </c>
      <c r="C105" s="553">
        <v>180175</v>
      </c>
      <c r="D105" s="13">
        <f t="shared" ref="D105:L105" si="61">+ROUND($C$105/12,0)</f>
        <v>15015</v>
      </c>
      <c r="E105" s="13">
        <f t="shared" si="61"/>
        <v>15015</v>
      </c>
      <c r="F105" s="13"/>
      <c r="G105" s="13"/>
      <c r="H105" s="13">
        <f>+ROUND($C$105/12,0)*3</f>
        <v>45045</v>
      </c>
      <c r="I105" s="13">
        <f t="shared" si="61"/>
        <v>15015</v>
      </c>
      <c r="J105" s="13">
        <f t="shared" si="61"/>
        <v>15015</v>
      </c>
      <c r="K105" s="13">
        <f t="shared" si="61"/>
        <v>15015</v>
      </c>
      <c r="L105" s="13">
        <f t="shared" si="61"/>
        <v>15015</v>
      </c>
      <c r="M105" s="13">
        <f>+ROUND($C$105/12,0)*2</f>
        <v>30030</v>
      </c>
      <c r="N105" s="13">
        <f>+ROUND($C$105/12,0)-5000</f>
        <v>10015</v>
      </c>
      <c r="O105" s="13">
        <f>+ROUND($C$105/12,0)-10020</f>
        <v>4995</v>
      </c>
      <c r="P105" s="554"/>
      <c r="Q105" s="555"/>
      <c r="R105" s="547"/>
    </row>
    <row r="106" spans="1:18" ht="15.75" x14ac:dyDescent="0.25">
      <c r="A106" s="54" t="s">
        <v>226</v>
      </c>
      <c r="B106" s="52" t="s">
        <v>227</v>
      </c>
      <c r="C106" s="553">
        <v>50687</v>
      </c>
      <c r="D106" s="13">
        <f t="shared" ref="D106:N106" si="62">+ROUND($C$106/12,0)</f>
        <v>4224</v>
      </c>
      <c r="E106" s="13">
        <f t="shared" si="62"/>
        <v>4224</v>
      </c>
      <c r="F106" s="13"/>
      <c r="G106" s="13">
        <f t="shared" si="62"/>
        <v>4224</v>
      </c>
      <c r="H106" s="13">
        <f>+ROUND($C$106/12,0)*2</f>
        <v>8448</v>
      </c>
      <c r="I106" s="13">
        <f t="shared" si="62"/>
        <v>4224</v>
      </c>
      <c r="J106" s="13">
        <f t="shared" si="62"/>
        <v>4224</v>
      </c>
      <c r="K106" s="13">
        <f t="shared" si="62"/>
        <v>4224</v>
      </c>
      <c r="L106" s="13">
        <f t="shared" si="62"/>
        <v>4224</v>
      </c>
      <c r="M106" s="13">
        <f t="shared" si="62"/>
        <v>4224</v>
      </c>
      <c r="N106" s="13">
        <f t="shared" si="62"/>
        <v>4224</v>
      </c>
      <c r="O106" s="13">
        <f>+ROUND($C$106/12,0)-1</f>
        <v>4223</v>
      </c>
      <c r="P106" s="554"/>
      <c r="Q106" s="555"/>
      <c r="R106" s="547"/>
    </row>
    <row r="107" spans="1:18" ht="15.75" x14ac:dyDescent="0.25">
      <c r="A107" s="54" t="s">
        <v>228</v>
      </c>
      <c r="B107" s="52" t="s">
        <v>229</v>
      </c>
      <c r="C107" s="553">
        <v>0</v>
      </c>
      <c r="D107" s="13">
        <f t="shared" ref="D107:O107" si="63">+ROUND($C$107/12,0)</f>
        <v>0</v>
      </c>
      <c r="E107" s="13">
        <f t="shared" si="63"/>
        <v>0</v>
      </c>
      <c r="F107" s="13">
        <f t="shared" si="63"/>
        <v>0</v>
      </c>
      <c r="G107" s="13">
        <f t="shared" si="63"/>
        <v>0</v>
      </c>
      <c r="H107" s="13">
        <f t="shared" si="63"/>
        <v>0</v>
      </c>
      <c r="I107" s="13">
        <f t="shared" si="63"/>
        <v>0</v>
      </c>
      <c r="J107" s="13">
        <f t="shared" si="63"/>
        <v>0</v>
      </c>
      <c r="K107" s="13">
        <f t="shared" si="63"/>
        <v>0</v>
      </c>
      <c r="L107" s="13">
        <f t="shared" si="63"/>
        <v>0</v>
      </c>
      <c r="M107" s="13">
        <f t="shared" si="63"/>
        <v>0</v>
      </c>
      <c r="N107" s="13">
        <f t="shared" si="63"/>
        <v>0</v>
      </c>
      <c r="O107" s="13">
        <f t="shared" si="63"/>
        <v>0</v>
      </c>
      <c r="P107" s="554"/>
      <c r="Q107" s="555"/>
      <c r="R107" s="547"/>
    </row>
    <row r="108" spans="1:18" ht="15.75" x14ac:dyDescent="0.25">
      <c r="A108" s="54" t="s">
        <v>230</v>
      </c>
      <c r="B108" s="52" t="s">
        <v>231</v>
      </c>
      <c r="C108" s="553">
        <v>1</v>
      </c>
      <c r="D108" s="13"/>
      <c r="E108" s="13"/>
      <c r="F108" s="13"/>
      <c r="G108" s="13"/>
      <c r="H108" s="13"/>
      <c r="I108" s="13"/>
      <c r="J108" s="13"/>
      <c r="K108" s="13"/>
      <c r="L108" s="13">
        <v>0</v>
      </c>
      <c r="M108" s="13"/>
      <c r="N108" s="13"/>
      <c r="O108" s="13">
        <v>1</v>
      </c>
      <c r="P108" s="554"/>
      <c r="Q108" s="555"/>
      <c r="R108" s="547"/>
    </row>
    <row r="109" spans="1:18" ht="15.75" x14ac:dyDescent="0.25">
      <c r="A109" s="54" t="s">
        <v>232</v>
      </c>
      <c r="B109" s="52" t="s">
        <v>233</v>
      </c>
      <c r="C109" s="553">
        <v>10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>
        <v>10</v>
      </c>
      <c r="P109" s="554"/>
      <c r="Q109" s="555"/>
      <c r="R109" s="547"/>
    </row>
    <row r="110" spans="1:18" ht="15.75" x14ac:dyDescent="0.25">
      <c r="A110" s="54" t="s">
        <v>234</v>
      </c>
      <c r="B110" s="52" t="s">
        <v>235</v>
      </c>
      <c r="C110" s="553">
        <v>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554"/>
      <c r="Q110" s="555"/>
      <c r="R110" s="547"/>
    </row>
    <row r="111" spans="1:18" ht="15.75" x14ac:dyDescent="0.25">
      <c r="A111" s="54" t="s">
        <v>236</v>
      </c>
      <c r="B111" s="52" t="s">
        <v>237</v>
      </c>
      <c r="C111" s="553">
        <v>0</v>
      </c>
      <c r="D111" s="13">
        <f t="shared" ref="D111:N111" si="64">+ROUND($C$111/12,0)</f>
        <v>0</v>
      </c>
      <c r="E111" s="13">
        <f t="shared" si="64"/>
        <v>0</v>
      </c>
      <c r="F111" s="13">
        <f t="shared" si="64"/>
        <v>0</v>
      </c>
      <c r="G111" s="13">
        <f t="shared" si="64"/>
        <v>0</v>
      </c>
      <c r="H111" s="13">
        <f t="shared" si="64"/>
        <v>0</v>
      </c>
      <c r="I111" s="13">
        <f t="shared" si="64"/>
        <v>0</v>
      </c>
      <c r="J111" s="13">
        <f t="shared" si="64"/>
        <v>0</v>
      </c>
      <c r="K111" s="13">
        <f t="shared" si="64"/>
        <v>0</v>
      </c>
      <c r="L111" s="13">
        <f t="shared" si="64"/>
        <v>0</v>
      </c>
      <c r="M111" s="13">
        <f t="shared" si="64"/>
        <v>0</v>
      </c>
      <c r="N111" s="13">
        <f t="shared" si="64"/>
        <v>0</v>
      </c>
      <c r="O111" s="13">
        <f>+ROUND($C$111/12,0)</f>
        <v>0</v>
      </c>
      <c r="P111" s="554"/>
      <c r="Q111" s="555"/>
      <c r="R111" s="547"/>
    </row>
    <row r="112" spans="1:18" s="558" customFormat="1" ht="15.75" x14ac:dyDescent="0.25">
      <c r="A112" s="102" t="s">
        <v>238</v>
      </c>
      <c r="B112" s="75" t="s">
        <v>239</v>
      </c>
      <c r="C112" s="76">
        <v>521255</v>
      </c>
      <c r="D112" s="76">
        <f t="shared" ref="D112:O112" si="65">SUM(D101:D111)</f>
        <v>67444</v>
      </c>
      <c r="E112" s="76">
        <f t="shared" si="65"/>
        <v>43438</v>
      </c>
      <c r="F112" s="76">
        <f t="shared" si="65"/>
        <v>0</v>
      </c>
      <c r="G112" s="76">
        <f t="shared" si="65"/>
        <v>4417</v>
      </c>
      <c r="H112" s="76">
        <f t="shared" si="65"/>
        <v>101891</v>
      </c>
      <c r="I112" s="76">
        <f t="shared" si="65"/>
        <v>43438</v>
      </c>
      <c r="J112" s="76">
        <f t="shared" si="65"/>
        <v>43438</v>
      </c>
      <c r="K112" s="76">
        <f t="shared" si="65"/>
        <v>43438</v>
      </c>
      <c r="L112" s="76">
        <f t="shared" si="65"/>
        <v>43438</v>
      </c>
      <c r="M112" s="76">
        <f t="shared" si="65"/>
        <v>58453</v>
      </c>
      <c r="N112" s="76">
        <f t="shared" si="65"/>
        <v>38438</v>
      </c>
      <c r="O112" s="76">
        <f t="shared" si="65"/>
        <v>33422</v>
      </c>
      <c r="P112" s="554"/>
      <c r="Q112" s="555"/>
      <c r="R112" s="557"/>
    </row>
    <row r="113" spans="1:18" ht="15.75" x14ac:dyDescent="0.25">
      <c r="A113" s="54" t="s">
        <v>240</v>
      </c>
      <c r="B113" s="52" t="s">
        <v>241</v>
      </c>
      <c r="C113" s="553">
        <v>0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554"/>
      <c r="Q113" s="555"/>
      <c r="R113" s="547"/>
    </row>
    <row r="114" spans="1:18" ht="15.75" x14ac:dyDescent="0.25">
      <c r="A114" s="54" t="s">
        <v>242</v>
      </c>
      <c r="B114" s="52" t="s">
        <v>243</v>
      </c>
      <c r="C114" s="553">
        <v>64000</v>
      </c>
      <c r="D114" s="13"/>
      <c r="E114" s="13"/>
      <c r="F114" s="13"/>
      <c r="G114" s="13"/>
      <c r="H114" s="13">
        <v>18600</v>
      </c>
      <c r="I114" s="13">
        <f>3800*2</f>
        <v>7600</v>
      </c>
      <c r="J114" s="13"/>
      <c r="K114" s="13">
        <v>8000</v>
      </c>
      <c r="L114" s="13">
        <v>3800</v>
      </c>
      <c r="M114" s="13">
        <v>18000</v>
      </c>
      <c r="N114" s="13">
        <v>8000</v>
      </c>
      <c r="O114" s="13"/>
      <c r="P114" s="554"/>
      <c r="Q114" s="555"/>
      <c r="R114" s="547"/>
    </row>
    <row r="115" spans="1:18" ht="15.75" x14ac:dyDescent="0.25">
      <c r="A115" s="54" t="s">
        <v>244</v>
      </c>
      <c r="B115" s="52" t="s">
        <v>245</v>
      </c>
      <c r="C115" s="553">
        <v>1700</v>
      </c>
      <c r="D115" s="13">
        <v>1700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554"/>
      <c r="Q115" s="555"/>
      <c r="R115" s="547"/>
    </row>
    <row r="116" spans="1:18" ht="15.75" hidden="1" x14ac:dyDescent="0.25">
      <c r="A116" s="54" t="s">
        <v>246</v>
      </c>
      <c r="B116" s="52" t="s">
        <v>247</v>
      </c>
      <c r="C116" s="553">
        <v>0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554"/>
      <c r="Q116" s="555"/>
      <c r="R116" s="547"/>
    </row>
    <row r="117" spans="1:18" ht="15.75" hidden="1" x14ac:dyDescent="0.25">
      <c r="A117" s="54" t="s">
        <v>248</v>
      </c>
      <c r="B117" s="52" t="s">
        <v>249</v>
      </c>
      <c r="C117" s="553">
        <v>0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554"/>
      <c r="Q117" s="555"/>
      <c r="R117" s="547"/>
    </row>
    <row r="118" spans="1:18" s="558" customFormat="1" ht="15.75" x14ac:dyDescent="0.25">
      <c r="A118" s="74" t="s">
        <v>250</v>
      </c>
      <c r="B118" s="75" t="s">
        <v>251</v>
      </c>
      <c r="C118" s="76">
        <v>65700</v>
      </c>
      <c r="D118" s="76">
        <f t="shared" ref="D118:O118" si="66">SUM(D113:D117)</f>
        <v>1700</v>
      </c>
      <c r="E118" s="76">
        <f t="shared" si="66"/>
        <v>0</v>
      </c>
      <c r="F118" s="76">
        <f t="shared" si="66"/>
        <v>0</v>
      </c>
      <c r="G118" s="76">
        <f t="shared" si="66"/>
        <v>0</v>
      </c>
      <c r="H118" s="76">
        <f t="shared" si="66"/>
        <v>18600</v>
      </c>
      <c r="I118" s="76">
        <f t="shared" si="66"/>
        <v>7600</v>
      </c>
      <c r="J118" s="76">
        <f t="shared" si="66"/>
        <v>0</v>
      </c>
      <c r="K118" s="76">
        <f t="shared" si="66"/>
        <v>8000</v>
      </c>
      <c r="L118" s="76">
        <f t="shared" si="66"/>
        <v>3800</v>
      </c>
      <c r="M118" s="76">
        <f t="shared" si="66"/>
        <v>18000</v>
      </c>
      <c r="N118" s="76">
        <f t="shared" si="66"/>
        <v>8000</v>
      </c>
      <c r="O118" s="76">
        <f t="shared" si="66"/>
        <v>0</v>
      </c>
      <c r="P118" s="554"/>
      <c r="Q118" s="555"/>
      <c r="R118" s="557"/>
    </row>
    <row r="119" spans="1:18" ht="15.75" x14ac:dyDescent="0.25">
      <c r="A119" s="44" t="s">
        <v>252</v>
      </c>
      <c r="B119" s="53" t="s">
        <v>253</v>
      </c>
      <c r="C119" s="553">
        <v>5435</v>
      </c>
      <c r="D119" s="14"/>
      <c r="E119" s="14">
        <v>5435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554"/>
      <c r="Q119" s="555"/>
      <c r="R119" s="547"/>
    </row>
    <row r="120" spans="1:18" ht="15.75" hidden="1" x14ac:dyDescent="0.25">
      <c r="A120" s="54" t="s">
        <v>578</v>
      </c>
      <c r="B120" s="52" t="s">
        <v>255</v>
      </c>
      <c r="C120" s="553">
        <v>0</v>
      </c>
      <c r="D120" s="13">
        <f t="shared" ref="D120:O120" si="67">+ROUND($C$120/12,0)</f>
        <v>0</v>
      </c>
      <c r="E120" s="13">
        <f t="shared" si="67"/>
        <v>0</v>
      </c>
      <c r="F120" s="13">
        <f t="shared" si="67"/>
        <v>0</v>
      </c>
      <c r="G120" s="13">
        <f t="shared" si="67"/>
        <v>0</v>
      </c>
      <c r="H120" s="13">
        <f t="shared" si="67"/>
        <v>0</v>
      </c>
      <c r="I120" s="13">
        <f t="shared" si="67"/>
        <v>0</v>
      </c>
      <c r="J120" s="13">
        <f t="shared" si="67"/>
        <v>0</v>
      </c>
      <c r="K120" s="13">
        <f t="shared" si="67"/>
        <v>0</v>
      </c>
      <c r="L120" s="13">
        <f t="shared" si="67"/>
        <v>0</v>
      </c>
      <c r="M120" s="13">
        <f t="shared" si="67"/>
        <v>0</v>
      </c>
      <c r="N120" s="13">
        <f t="shared" si="67"/>
        <v>0</v>
      </c>
      <c r="O120" s="13">
        <f t="shared" si="67"/>
        <v>0</v>
      </c>
      <c r="P120" s="554"/>
      <c r="Q120" s="555"/>
      <c r="R120" s="547"/>
    </row>
    <row r="121" spans="1:18" ht="15.75" hidden="1" x14ac:dyDescent="0.25">
      <c r="A121" s="41" t="s">
        <v>256</v>
      </c>
      <c r="B121" s="52" t="s">
        <v>257</v>
      </c>
      <c r="C121" s="553">
        <v>0</v>
      </c>
      <c r="D121" s="13">
        <f t="shared" ref="D121:O121" si="68">+ROUND($C$121/12,0)</f>
        <v>0</v>
      </c>
      <c r="E121" s="13">
        <f t="shared" si="68"/>
        <v>0</v>
      </c>
      <c r="F121" s="13">
        <f t="shared" si="68"/>
        <v>0</v>
      </c>
      <c r="G121" s="13">
        <f t="shared" si="68"/>
        <v>0</v>
      </c>
      <c r="H121" s="13">
        <f t="shared" si="68"/>
        <v>0</v>
      </c>
      <c r="I121" s="13">
        <f t="shared" si="68"/>
        <v>0</v>
      </c>
      <c r="J121" s="13">
        <f t="shared" si="68"/>
        <v>0</v>
      </c>
      <c r="K121" s="13">
        <f t="shared" si="68"/>
        <v>0</v>
      </c>
      <c r="L121" s="13">
        <f t="shared" si="68"/>
        <v>0</v>
      </c>
      <c r="M121" s="13">
        <f t="shared" si="68"/>
        <v>0</v>
      </c>
      <c r="N121" s="13">
        <f t="shared" si="68"/>
        <v>0</v>
      </c>
      <c r="O121" s="13">
        <f t="shared" si="68"/>
        <v>0</v>
      </c>
      <c r="P121" s="554"/>
      <c r="Q121" s="555"/>
      <c r="R121" s="547"/>
    </row>
    <row r="122" spans="1:18" ht="31.5" hidden="1" x14ac:dyDescent="0.25">
      <c r="A122" s="54" t="s">
        <v>258</v>
      </c>
      <c r="B122" s="52" t="s">
        <v>259</v>
      </c>
      <c r="C122" s="553">
        <v>0</v>
      </c>
      <c r="D122" s="13">
        <f t="shared" ref="D122:O122" si="69">+ROUND($C$122/12,0)</f>
        <v>0</v>
      </c>
      <c r="E122" s="13">
        <f t="shared" si="69"/>
        <v>0</v>
      </c>
      <c r="F122" s="13">
        <f t="shared" si="69"/>
        <v>0</v>
      </c>
      <c r="G122" s="13">
        <f t="shared" si="69"/>
        <v>0</v>
      </c>
      <c r="H122" s="13">
        <f t="shared" si="69"/>
        <v>0</v>
      </c>
      <c r="I122" s="13">
        <f t="shared" si="69"/>
        <v>0</v>
      </c>
      <c r="J122" s="13">
        <f t="shared" si="69"/>
        <v>0</v>
      </c>
      <c r="K122" s="13">
        <f t="shared" si="69"/>
        <v>0</v>
      </c>
      <c r="L122" s="13">
        <f t="shared" si="69"/>
        <v>0</v>
      </c>
      <c r="M122" s="13">
        <f t="shared" si="69"/>
        <v>0</v>
      </c>
      <c r="N122" s="13">
        <f t="shared" si="69"/>
        <v>0</v>
      </c>
      <c r="O122" s="13">
        <f t="shared" si="69"/>
        <v>0</v>
      </c>
      <c r="P122" s="554"/>
      <c r="Q122" s="555"/>
      <c r="R122" s="547"/>
    </row>
    <row r="123" spans="1:18" ht="15.75" x14ac:dyDescent="0.25">
      <c r="A123" s="54" t="s">
        <v>580</v>
      </c>
      <c r="B123" s="52" t="s">
        <v>261</v>
      </c>
      <c r="C123" s="553">
        <v>0</v>
      </c>
      <c r="D123" s="13">
        <f t="shared" ref="D123:O123" si="70">+ROUND($C$123/12,0)</f>
        <v>0</v>
      </c>
      <c r="E123" s="13">
        <f t="shared" si="70"/>
        <v>0</v>
      </c>
      <c r="F123" s="13">
        <f t="shared" si="70"/>
        <v>0</v>
      </c>
      <c r="G123" s="13">
        <f t="shared" si="70"/>
        <v>0</v>
      </c>
      <c r="H123" s="13">
        <f t="shared" si="70"/>
        <v>0</v>
      </c>
      <c r="I123" s="13">
        <f t="shared" si="70"/>
        <v>0</v>
      </c>
      <c r="J123" s="13">
        <f t="shared" si="70"/>
        <v>0</v>
      </c>
      <c r="K123" s="13">
        <f t="shared" si="70"/>
        <v>0</v>
      </c>
      <c r="L123" s="13">
        <f t="shared" si="70"/>
        <v>0</v>
      </c>
      <c r="M123" s="13">
        <f t="shared" si="70"/>
        <v>0</v>
      </c>
      <c r="N123" s="13">
        <f t="shared" si="70"/>
        <v>0</v>
      </c>
      <c r="O123" s="13">
        <f t="shared" si="70"/>
        <v>0</v>
      </c>
      <c r="P123" s="554"/>
      <c r="Q123" s="555"/>
      <c r="R123" s="547"/>
    </row>
    <row r="124" spans="1:18" ht="15.75" x14ac:dyDescent="0.25">
      <c r="A124" s="54" t="s">
        <v>262</v>
      </c>
      <c r="B124" s="52" t="s">
        <v>263</v>
      </c>
      <c r="C124" s="553">
        <v>29400</v>
      </c>
      <c r="D124" s="13">
        <f t="shared" ref="D124:N124" si="71">+ROUND($C$124/12,0)</f>
        <v>2450</v>
      </c>
      <c r="E124" s="13">
        <f t="shared" si="71"/>
        <v>2450</v>
      </c>
      <c r="F124" s="13"/>
      <c r="G124" s="13">
        <f t="shared" si="71"/>
        <v>2450</v>
      </c>
      <c r="H124" s="13">
        <f>+ROUND($C$124/12,0)*2</f>
        <v>4900</v>
      </c>
      <c r="I124" s="13">
        <f t="shared" si="71"/>
        <v>2450</v>
      </c>
      <c r="J124" s="13">
        <f t="shared" si="71"/>
        <v>2450</v>
      </c>
      <c r="K124" s="13">
        <f t="shared" si="71"/>
        <v>2450</v>
      </c>
      <c r="L124" s="13">
        <f t="shared" si="71"/>
        <v>2450</v>
      </c>
      <c r="M124" s="13">
        <f>+ROUND($C$124/12,0)*2</f>
        <v>4900</v>
      </c>
      <c r="N124" s="13">
        <f t="shared" si="71"/>
        <v>2450</v>
      </c>
      <c r="O124" s="13"/>
      <c r="P124" s="554"/>
      <c r="Q124" s="555"/>
      <c r="R124" s="547"/>
    </row>
    <row r="125" spans="1:18" s="558" customFormat="1" ht="15.75" x14ac:dyDescent="0.25">
      <c r="A125" s="74" t="s">
        <v>264</v>
      </c>
      <c r="B125" s="75" t="s">
        <v>265</v>
      </c>
      <c r="C125" s="76">
        <v>29400</v>
      </c>
      <c r="D125" s="76">
        <f t="shared" ref="D125:O125" si="72">SUM(D120:D124)</f>
        <v>2450</v>
      </c>
      <c r="E125" s="76">
        <f t="shared" si="72"/>
        <v>2450</v>
      </c>
      <c r="F125" s="76">
        <f t="shared" si="72"/>
        <v>0</v>
      </c>
      <c r="G125" s="76">
        <f t="shared" si="72"/>
        <v>2450</v>
      </c>
      <c r="H125" s="76">
        <f t="shared" si="72"/>
        <v>4900</v>
      </c>
      <c r="I125" s="76">
        <f t="shared" si="72"/>
        <v>2450</v>
      </c>
      <c r="J125" s="76">
        <f t="shared" si="72"/>
        <v>2450</v>
      </c>
      <c r="K125" s="76">
        <f t="shared" si="72"/>
        <v>2450</v>
      </c>
      <c r="L125" s="76">
        <f t="shared" si="72"/>
        <v>2450</v>
      </c>
      <c r="M125" s="76">
        <f t="shared" si="72"/>
        <v>4900</v>
      </c>
      <c r="N125" s="76">
        <f t="shared" si="72"/>
        <v>2450</v>
      </c>
      <c r="O125" s="76">
        <f t="shared" si="72"/>
        <v>0</v>
      </c>
      <c r="P125" s="554"/>
      <c r="Q125" s="555"/>
      <c r="R125" s="557"/>
    </row>
    <row r="126" spans="1:18" s="558" customFormat="1" ht="15.75" x14ac:dyDescent="0.25">
      <c r="A126" s="102" t="s">
        <v>266</v>
      </c>
      <c r="B126" s="75" t="s">
        <v>267</v>
      </c>
      <c r="C126" s="76">
        <v>4484639</v>
      </c>
      <c r="D126" s="76">
        <f t="shared" ref="D126:O126" si="73">+D125+D119+D118+D112+D100+D93+D92</f>
        <v>197179</v>
      </c>
      <c r="E126" s="76">
        <f t="shared" si="73"/>
        <v>246693</v>
      </c>
      <c r="F126" s="76">
        <f t="shared" si="73"/>
        <v>293763</v>
      </c>
      <c r="G126" s="76">
        <f t="shared" si="73"/>
        <v>431127</v>
      </c>
      <c r="H126" s="76">
        <f t="shared" si="73"/>
        <v>423062</v>
      </c>
      <c r="I126" s="76">
        <f t="shared" si="73"/>
        <v>371664</v>
      </c>
      <c r="J126" s="76">
        <f t="shared" si="73"/>
        <v>255106</v>
      </c>
      <c r="K126" s="76">
        <f t="shared" si="73"/>
        <v>304990</v>
      </c>
      <c r="L126" s="76">
        <f t="shared" si="73"/>
        <v>558644</v>
      </c>
      <c r="M126" s="76">
        <f t="shared" si="73"/>
        <v>381915</v>
      </c>
      <c r="N126" s="76">
        <f t="shared" si="73"/>
        <v>451737</v>
      </c>
      <c r="O126" s="76">
        <f t="shared" si="73"/>
        <v>568759</v>
      </c>
      <c r="P126" s="554"/>
      <c r="Q126" s="555"/>
      <c r="R126" s="557"/>
    </row>
    <row r="127" spans="1:18" s="558" customFormat="1" ht="15.75" x14ac:dyDescent="0.25">
      <c r="A127" s="537" t="s">
        <v>268</v>
      </c>
      <c r="B127" s="91"/>
      <c r="C127" s="92">
        <v>-316443</v>
      </c>
      <c r="D127" s="92">
        <f t="shared" ref="D127:O127" si="74">+D119+D112+D100+D92-D34</f>
        <v>-100790</v>
      </c>
      <c r="E127" s="92">
        <f t="shared" si="74"/>
        <v>-51011</v>
      </c>
      <c r="F127" s="92">
        <f t="shared" si="74"/>
        <v>-122956</v>
      </c>
      <c r="G127" s="92">
        <f t="shared" si="74"/>
        <v>-79642</v>
      </c>
      <c r="H127" s="92">
        <f t="shared" si="74"/>
        <v>-1342</v>
      </c>
      <c r="I127" s="92">
        <f t="shared" si="74"/>
        <v>9436</v>
      </c>
      <c r="J127" s="92">
        <f t="shared" si="74"/>
        <v>-162643</v>
      </c>
      <c r="K127" s="92">
        <f t="shared" si="74"/>
        <v>-279</v>
      </c>
      <c r="L127" s="92">
        <f t="shared" si="74"/>
        <v>16927</v>
      </c>
      <c r="M127" s="92">
        <f t="shared" si="74"/>
        <v>63196</v>
      </c>
      <c r="N127" s="92">
        <f t="shared" si="74"/>
        <v>38277</v>
      </c>
      <c r="O127" s="92">
        <f t="shared" si="74"/>
        <v>74384</v>
      </c>
      <c r="P127" s="554"/>
      <c r="Q127" s="555"/>
      <c r="R127" s="557"/>
    </row>
    <row r="128" spans="1:18" s="558" customFormat="1" ht="15.75" x14ac:dyDescent="0.25">
      <c r="A128" s="537" t="s">
        <v>269</v>
      </c>
      <c r="B128" s="91"/>
      <c r="C128" s="92">
        <v>-1211741</v>
      </c>
      <c r="D128" s="92">
        <f t="shared" ref="D128:O128" si="75">+D125+D118+D93-D58</f>
        <v>-31450</v>
      </c>
      <c r="E128" s="92">
        <f t="shared" si="75"/>
        <v>-15050</v>
      </c>
      <c r="F128" s="92">
        <f t="shared" si="75"/>
        <v>106497</v>
      </c>
      <c r="G128" s="92">
        <f t="shared" si="75"/>
        <v>36626</v>
      </c>
      <c r="H128" s="92">
        <f t="shared" si="75"/>
        <v>-126133</v>
      </c>
      <c r="I128" s="92">
        <f t="shared" si="75"/>
        <v>-180424</v>
      </c>
      <c r="J128" s="92">
        <f t="shared" si="75"/>
        <v>-52702</v>
      </c>
      <c r="K128" s="92">
        <f t="shared" si="75"/>
        <v>-247368</v>
      </c>
      <c r="L128" s="92">
        <f t="shared" si="75"/>
        <v>-77734</v>
      </c>
      <c r="M128" s="92">
        <f t="shared" si="75"/>
        <v>-270540</v>
      </c>
      <c r="N128" s="92">
        <f t="shared" si="75"/>
        <v>-141419</v>
      </c>
      <c r="O128" s="92">
        <f t="shared" si="75"/>
        <v>-212044</v>
      </c>
      <c r="P128" s="554"/>
      <c r="Q128" s="555"/>
      <c r="R128" s="557"/>
    </row>
    <row r="129" spans="1:18" ht="15.75" hidden="1" x14ac:dyDescent="0.25">
      <c r="A129" s="59" t="s">
        <v>270</v>
      </c>
      <c r="B129" s="41" t="s">
        <v>271</v>
      </c>
      <c r="C129" s="553">
        <v>0</v>
      </c>
      <c r="D129" s="13"/>
      <c r="E129" s="561"/>
      <c r="F129" s="561"/>
      <c r="G129" s="561"/>
      <c r="H129" s="13"/>
      <c r="I129" s="13"/>
      <c r="J129" s="13"/>
      <c r="K129" s="13"/>
      <c r="L129" s="13"/>
      <c r="M129" s="561"/>
      <c r="N129" s="561"/>
      <c r="O129" s="561"/>
      <c r="P129" s="554"/>
      <c r="Q129" s="555"/>
      <c r="R129" s="547"/>
    </row>
    <row r="130" spans="1:18" ht="15.75" hidden="1" x14ac:dyDescent="0.25">
      <c r="A130" s="54" t="s">
        <v>692</v>
      </c>
      <c r="B130" s="41" t="s">
        <v>273</v>
      </c>
      <c r="C130" s="553">
        <v>0</v>
      </c>
      <c r="D130" s="13"/>
      <c r="E130" s="561"/>
      <c r="F130" s="561"/>
      <c r="G130" s="561"/>
      <c r="H130" s="13"/>
      <c r="I130" s="13"/>
      <c r="J130" s="13"/>
      <c r="K130" s="13"/>
      <c r="L130" s="13"/>
      <c r="M130" s="561"/>
      <c r="N130" s="561"/>
      <c r="O130" s="561"/>
      <c r="P130" s="554"/>
      <c r="Q130" s="555"/>
      <c r="R130" s="547"/>
    </row>
    <row r="131" spans="1:18" ht="15.75" x14ac:dyDescent="0.25">
      <c r="A131" s="59" t="s">
        <v>274</v>
      </c>
      <c r="B131" s="41" t="s">
        <v>275</v>
      </c>
      <c r="C131" s="553">
        <v>88500</v>
      </c>
      <c r="D131" s="13"/>
      <c r="E131" s="561"/>
      <c r="F131" s="13"/>
      <c r="G131" s="13"/>
      <c r="H131" s="13">
        <v>20000</v>
      </c>
      <c r="I131" s="13">
        <v>40000</v>
      </c>
      <c r="J131" s="13">
        <v>20000</v>
      </c>
      <c r="K131" s="13">
        <v>0</v>
      </c>
      <c r="L131" s="13">
        <v>8500</v>
      </c>
      <c r="M131" s="561"/>
      <c r="N131" s="561"/>
      <c r="O131" s="561"/>
      <c r="P131" s="554"/>
      <c r="Q131" s="555"/>
      <c r="R131" s="547"/>
    </row>
    <row r="132" spans="1:18" s="558" customFormat="1" ht="15.75" x14ac:dyDescent="0.25">
      <c r="A132" s="102" t="s">
        <v>695</v>
      </c>
      <c r="B132" s="74" t="s">
        <v>277</v>
      </c>
      <c r="C132" s="76">
        <v>88500</v>
      </c>
      <c r="D132" s="76">
        <f t="shared" ref="D132:O132" si="76">SUM(D129:D131)</f>
        <v>0</v>
      </c>
      <c r="E132" s="76">
        <f t="shared" si="76"/>
        <v>0</v>
      </c>
      <c r="F132" s="76">
        <f t="shared" si="76"/>
        <v>0</v>
      </c>
      <c r="G132" s="76">
        <f t="shared" si="76"/>
        <v>0</v>
      </c>
      <c r="H132" s="76">
        <f t="shared" si="76"/>
        <v>20000</v>
      </c>
      <c r="I132" s="76">
        <f t="shared" si="76"/>
        <v>40000</v>
      </c>
      <c r="J132" s="76">
        <f t="shared" si="76"/>
        <v>20000</v>
      </c>
      <c r="K132" s="76">
        <f t="shared" si="76"/>
        <v>0</v>
      </c>
      <c r="L132" s="76">
        <f t="shared" si="76"/>
        <v>8500</v>
      </c>
      <c r="M132" s="76">
        <f t="shared" si="76"/>
        <v>0</v>
      </c>
      <c r="N132" s="76">
        <f t="shared" si="76"/>
        <v>0</v>
      </c>
      <c r="O132" s="76">
        <f t="shared" si="76"/>
        <v>0</v>
      </c>
      <c r="P132" s="554"/>
      <c r="Q132" s="556"/>
      <c r="R132" s="557"/>
    </row>
    <row r="133" spans="1:18" ht="15.75" hidden="1" x14ac:dyDescent="0.25">
      <c r="A133" s="54" t="s">
        <v>278</v>
      </c>
      <c r="B133" s="41" t="s">
        <v>279</v>
      </c>
      <c r="C133" s="553">
        <v>0</v>
      </c>
      <c r="D133" s="13"/>
      <c r="E133" s="560"/>
      <c r="F133" s="560"/>
      <c r="G133" s="560"/>
      <c r="H133" s="560"/>
      <c r="I133" s="560"/>
      <c r="J133" s="560"/>
      <c r="K133" s="560"/>
      <c r="L133" s="560"/>
      <c r="M133" s="560"/>
      <c r="N133" s="560"/>
      <c r="O133" s="560"/>
      <c r="P133" s="554"/>
      <c r="Q133" s="555"/>
      <c r="R133" s="547"/>
    </row>
    <row r="134" spans="1:18" ht="15.75" hidden="1" x14ac:dyDescent="0.25">
      <c r="A134" s="59" t="s">
        <v>697</v>
      </c>
      <c r="B134" s="41" t="s">
        <v>281</v>
      </c>
      <c r="C134" s="553">
        <v>0</v>
      </c>
      <c r="D134" s="13"/>
      <c r="E134" s="560"/>
      <c r="F134" s="560"/>
      <c r="G134" s="560"/>
      <c r="H134" s="560"/>
      <c r="I134" s="560"/>
      <c r="J134" s="560"/>
      <c r="K134" s="560"/>
      <c r="L134" s="560"/>
      <c r="M134" s="560"/>
      <c r="N134" s="560"/>
      <c r="O134" s="560"/>
      <c r="P134" s="554"/>
      <c r="Q134" s="555"/>
      <c r="R134" s="547"/>
    </row>
    <row r="135" spans="1:18" ht="15.75" hidden="1" x14ac:dyDescent="0.25">
      <c r="A135" s="54" t="s">
        <v>282</v>
      </c>
      <c r="B135" s="41" t="s">
        <v>283</v>
      </c>
      <c r="C135" s="553">
        <v>0</v>
      </c>
      <c r="D135" s="13"/>
      <c r="E135" s="560"/>
      <c r="F135" s="560"/>
      <c r="G135" s="560"/>
      <c r="H135" s="560"/>
      <c r="I135" s="560"/>
      <c r="J135" s="560"/>
      <c r="K135" s="560"/>
      <c r="L135" s="560"/>
      <c r="M135" s="560"/>
      <c r="N135" s="560"/>
      <c r="O135" s="560"/>
      <c r="P135" s="554"/>
      <c r="Q135" s="555"/>
      <c r="R135" s="547"/>
    </row>
    <row r="136" spans="1:18" ht="15.75" hidden="1" x14ac:dyDescent="0.25">
      <c r="A136" s="59" t="s">
        <v>699</v>
      </c>
      <c r="B136" s="41" t="s">
        <v>285</v>
      </c>
      <c r="C136" s="553">
        <v>0</v>
      </c>
      <c r="D136" s="13"/>
      <c r="E136" s="560"/>
      <c r="F136" s="560"/>
      <c r="G136" s="560"/>
      <c r="H136" s="560"/>
      <c r="I136" s="560"/>
      <c r="J136" s="560"/>
      <c r="K136" s="560"/>
      <c r="L136" s="560"/>
      <c r="M136" s="560"/>
      <c r="N136" s="560"/>
      <c r="O136" s="560"/>
      <c r="P136" s="554"/>
      <c r="Q136" s="555"/>
      <c r="R136" s="547"/>
    </row>
    <row r="137" spans="1:18" s="558" customFormat="1" ht="15.75" x14ac:dyDescent="0.25">
      <c r="A137" s="533" t="s">
        <v>286</v>
      </c>
      <c r="B137" s="74" t="s">
        <v>287</v>
      </c>
      <c r="C137" s="76">
        <v>0</v>
      </c>
      <c r="D137" s="76">
        <f t="shared" ref="D137:O137" si="77">SUM(D133:D136)</f>
        <v>0</v>
      </c>
      <c r="E137" s="76">
        <f t="shared" si="77"/>
        <v>0</v>
      </c>
      <c r="F137" s="76">
        <f t="shared" si="77"/>
        <v>0</v>
      </c>
      <c r="G137" s="76">
        <f t="shared" si="77"/>
        <v>0</v>
      </c>
      <c r="H137" s="76">
        <f t="shared" si="77"/>
        <v>0</v>
      </c>
      <c r="I137" s="76">
        <f t="shared" si="77"/>
        <v>0</v>
      </c>
      <c r="J137" s="76">
        <f t="shared" si="77"/>
        <v>0</v>
      </c>
      <c r="K137" s="76">
        <f t="shared" si="77"/>
        <v>0</v>
      </c>
      <c r="L137" s="76">
        <f t="shared" si="77"/>
        <v>0</v>
      </c>
      <c r="M137" s="76">
        <f t="shared" si="77"/>
        <v>0</v>
      </c>
      <c r="N137" s="76">
        <f t="shared" si="77"/>
        <v>0</v>
      </c>
      <c r="O137" s="76">
        <f t="shared" si="77"/>
        <v>0</v>
      </c>
      <c r="P137" s="554"/>
      <c r="Q137" s="556"/>
      <c r="R137" s="557"/>
    </row>
    <row r="138" spans="1:18" ht="15.75" x14ac:dyDescent="0.25">
      <c r="A138" s="41" t="s">
        <v>288</v>
      </c>
      <c r="B138" s="41" t="s">
        <v>289</v>
      </c>
      <c r="C138" s="553">
        <v>304796</v>
      </c>
      <c r="D138" s="13">
        <f>+ROUND($C$138/12,0)+D66</f>
        <v>66249</v>
      </c>
      <c r="E138" s="13">
        <f t="shared" ref="E138:N138" si="78">+ROUND($C$138/12,0)</f>
        <v>25400</v>
      </c>
      <c r="F138" s="13">
        <f>16419+40</f>
        <v>16459</v>
      </c>
      <c r="G138" s="13">
        <f>4876+1</f>
        <v>4877</v>
      </c>
      <c r="H138" s="13">
        <f t="shared" si="78"/>
        <v>25400</v>
      </c>
      <c r="I138" s="13">
        <f t="shared" si="78"/>
        <v>25400</v>
      </c>
      <c r="J138" s="13">
        <f t="shared" si="78"/>
        <v>25400</v>
      </c>
      <c r="K138" s="13">
        <f t="shared" si="78"/>
        <v>25400</v>
      </c>
      <c r="L138" s="13">
        <v>0</v>
      </c>
      <c r="M138" s="13">
        <f t="shared" si="78"/>
        <v>25400</v>
      </c>
      <c r="N138" s="13">
        <f t="shared" si="78"/>
        <v>25400</v>
      </c>
      <c r="O138" s="13">
        <f>39411</f>
        <v>39411</v>
      </c>
      <c r="P138" s="554"/>
      <c r="Q138" s="555"/>
      <c r="R138" s="547"/>
    </row>
    <row r="139" spans="1:18" ht="15.75" x14ac:dyDescent="0.25">
      <c r="A139" s="41" t="s">
        <v>290</v>
      </c>
      <c r="B139" s="41" t="s">
        <v>289</v>
      </c>
      <c r="C139" s="553">
        <v>1264237</v>
      </c>
      <c r="D139" s="13">
        <f>+ROUND($C$139/12,0)+1447+40</f>
        <v>106840</v>
      </c>
      <c r="E139" s="13">
        <f>+ROUND($C$139/12,0)-64733+1+40</f>
        <v>40661</v>
      </c>
      <c r="F139" s="13"/>
      <c r="G139" s="13">
        <f>38100-1+40</f>
        <v>38139</v>
      </c>
      <c r="H139" s="13">
        <f>+ROUND($C$139/12,0)-23318+40</f>
        <v>82075</v>
      </c>
      <c r="I139" s="13">
        <f>+ROUND($C$139/12,0)+195+40</f>
        <v>105588</v>
      </c>
      <c r="J139" s="13">
        <f>169946-1</f>
        <v>169945</v>
      </c>
      <c r="K139" s="13">
        <f>+ROUND($C$139/12,0)*2+11501+40</f>
        <v>222247</v>
      </c>
      <c r="L139" s="13">
        <f>52308-1</f>
        <v>52307</v>
      </c>
      <c r="M139" s="13">
        <f>181945-1</f>
        <v>181944</v>
      </c>
      <c r="N139" s="13">
        <f>83277-5073-502+40</f>
        <v>77742</v>
      </c>
      <c r="O139" s="13">
        <f>181247+5893+9-400</f>
        <v>186749</v>
      </c>
      <c r="P139" s="554"/>
      <c r="Q139" s="555"/>
      <c r="R139" s="547"/>
    </row>
    <row r="140" spans="1:18" ht="15.75" hidden="1" x14ac:dyDescent="0.25">
      <c r="A140" s="41" t="s">
        <v>291</v>
      </c>
      <c r="B140" s="41" t="s">
        <v>292</v>
      </c>
      <c r="C140" s="553">
        <v>0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554"/>
      <c r="Q140" s="555"/>
      <c r="R140" s="547"/>
    </row>
    <row r="141" spans="1:18" ht="15.75" hidden="1" x14ac:dyDescent="0.25">
      <c r="A141" s="41" t="s">
        <v>293</v>
      </c>
      <c r="B141" s="41" t="s">
        <v>292</v>
      </c>
      <c r="C141" s="553">
        <v>0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554"/>
      <c r="Q141" s="555"/>
      <c r="R141" s="547"/>
    </row>
    <row r="142" spans="1:18" s="558" customFormat="1" ht="15.75" x14ac:dyDescent="0.25">
      <c r="A142" s="74" t="s">
        <v>294</v>
      </c>
      <c r="B142" s="74" t="s">
        <v>295</v>
      </c>
      <c r="C142" s="76">
        <v>1569033</v>
      </c>
      <c r="D142" s="76">
        <f t="shared" ref="D142:O142" si="79">SUM(D138:D141)</f>
        <v>173089</v>
      </c>
      <c r="E142" s="76">
        <f t="shared" si="79"/>
        <v>66061</v>
      </c>
      <c r="F142" s="76">
        <f t="shared" si="79"/>
        <v>16459</v>
      </c>
      <c r="G142" s="76">
        <f t="shared" si="79"/>
        <v>43016</v>
      </c>
      <c r="H142" s="76">
        <f t="shared" si="79"/>
        <v>107475</v>
      </c>
      <c r="I142" s="76">
        <f t="shared" si="79"/>
        <v>130988</v>
      </c>
      <c r="J142" s="76">
        <f t="shared" si="79"/>
        <v>195345</v>
      </c>
      <c r="K142" s="76">
        <f t="shared" si="79"/>
        <v>247647</v>
      </c>
      <c r="L142" s="76">
        <f t="shared" si="79"/>
        <v>52307</v>
      </c>
      <c r="M142" s="76">
        <f t="shared" si="79"/>
        <v>207344</v>
      </c>
      <c r="N142" s="76">
        <f t="shared" si="79"/>
        <v>103142</v>
      </c>
      <c r="O142" s="76">
        <f t="shared" si="79"/>
        <v>226160</v>
      </c>
      <c r="P142" s="554"/>
      <c r="Q142" s="556"/>
      <c r="R142" s="557"/>
    </row>
    <row r="143" spans="1:18" ht="15.75" hidden="1" x14ac:dyDescent="0.25">
      <c r="A143" s="59" t="s">
        <v>296</v>
      </c>
      <c r="B143" s="41" t="s">
        <v>297</v>
      </c>
      <c r="C143" s="553">
        <v>0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554"/>
      <c r="Q143" s="555"/>
      <c r="R143" s="547"/>
    </row>
    <row r="144" spans="1:18" ht="15.75" hidden="1" x14ac:dyDescent="0.25">
      <c r="A144" s="59" t="s">
        <v>298</v>
      </c>
      <c r="B144" s="41" t="s">
        <v>299</v>
      </c>
      <c r="C144" s="553">
        <v>0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554"/>
      <c r="Q144" s="555"/>
      <c r="R144" s="547"/>
    </row>
    <row r="145" spans="1:18" ht="15.75" hidden="1" x14ac:dyDescent="0.25">
      <c r="A145" s="59" t="s">
        <v>300</v>
      </c>
      <c r="B145" s="41" t="s">
        <v>301</v>
      </c>
      <c r="C145" s="553">
        <v>0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554"/>
      <c r="Q145" s="555"/>
      <c r="R145" s="547"/>
    </row>
    <row r="146" spans="1:18" ht="15.75" hidden="1" x14ac:dyDescent="0.25">
      <c r="A146" s="59" t="s">
        <v>302</v>
      </c>
      <c r="B146" s="41" t="s">
        <v>303</v>
      </c>
      <c r="C146" s="553">
        <v>0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554"/>
      <c r="Q146" s="555"/>
      <c r="R146" s="547"/>
    </row>
    <row r="147" spans="1:18" ht="15.75" hidden="1" x14ac:dyDescent="0.25">
      <c r="A147" s="54" t="s">
        <v>304</v>
      </c>
      <c r="B147" s="41" t="s">
        <v>305</v>
      </c>
      <c r="C147" s="553">
        <v>0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554"/>
      <c r="Q147" s="555"/>
      <c r="R147" s="547"/>
    </row>
    <row r="148" spans="1:18" ht="15.75" hidden="1" x14ac:dyDescent="0.25">
      <c r="A148" s="54" t="s">
        <v>306</v>
      </c>
      <c r="B148" s="41" t="s">
        <v>307</v>
      </c>
      <c r="C148" s="553">
        <v>0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554"/>
      <c r="Q148" s="555"/>
      <c r="R148" s="547"/>
    </row>
    <row r="149" spans="1:18" s="558" customFormat="1" ht="15.75" x14ac:dyDescent="0.25">
      <c r="A149" s="102" t="s">
        <v>308</v>
      </c>
      <c r="B149" s="74" t="s">
        <v>309</v>
      </c>
      <c r="C149" s="76">
        <v>1657533</v>
      </c>
      <c r="D149" s="76">
        <f t="shared" ref="D149:O149" si="80">SUM(D143:D148)+D142+D137+D132</f>
        <v>173089</v>
      </c>
      <c r="E149" s="76">
        <f t="shared" si="80"/>
        <v>66061</v>
      </c>
      <c r="F149" s="76">
        <f t="shared" si="80"/>
        <v>16459</v>
      </c>
      <c r="G149" s="76">
        <f t="shared" si="80"/>
        <v>43016</v>
      </c>
      <c r="H149" s="76">
        <f t="shared" si="80"/>
        <v>127475</v>
      </c>
      <c r="I149" s="76">
        <f t="shared" si="80"/>
        <v>170988</v>
      </c>
      <c r="J149" s="76">
        <f t="shared" si="80"/>
        <v>215345</v>
      </c>
      <c r="K149" s="76">
        <f t="shared" si="80"/>
        <v>247647</v>
      </c>
      <c r="L149" s="76">
        <f t="shared" si="80"/>
        <v>60807</v>
      </c>
      <c r="M149" s="76">
        <f t="shared" si="80"/>
        <v>207344</v>
      </c>
      <c r="N149" s="76">
        <f t="shared" si="80"/>
        <v>103142</v>
      </c>
      <c r="O149" s="76">
        <f t="shared" si="80"/>
        <v>226160</v>
      </c>
      <c r="P149" s="554"/>
      <c r="Q149" s="556"/>
      <c r="R149" s="557"/>
    </row>
    <row r="150" spans="1:18" ht="15.75" hidden="1" x14ac:dyDescent="0.25">
      <c r="A150" s="59" t="s">
        <v>310</v>
      </c>
      <c r="B150" s="41" t="s">
        <v>311</v>
      </c>
      <c r="C150" s="553">
        <v>0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554"/>
      <c r="Q150" s="555"/>
      <c r="R150" s="547"/>
    </row>
    <row r="151" spans="1:18" ht="15.75" hidden="1" x14ac:dyDescent="0.25">
      <c r="A151" s="54" t="s">
        <v>312</v>
      </c>
      <c r="B151" s="41" t="s">
        <v>313</v>
      </c>
      <c r="C151" s="553">
        <v>0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554"/>
      <c r="Q151" s="555"/>
      <c r="R151" s="547"/>
    </row>
    <row r="152" spans="1:18" ht="15.75" hidden="1" x14ac:dyDescent="0.25">
      <c r="A152" s="54" t="s">
        <v>314</v>
      </c>
      <c r="B152" s="41" t="s">
        <v>315</v>
      </c>
      <c r="C152" s="553">
        <v>0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554"/>
      <c r="Q152" s="555"/>
      <c r="R152" s="547"/>
    </row>
    <row r="153" spans="1:18" s="558" customFormat="1" ht="15.75" x14ac:dyDescent="0.25">
      <c r="A153" s="533" t="s">
        <v>316</v>
      </c>
      <c r="B153" s="74" t="s">
        <v>317</v>
      </c>
      <c r="C153" s="76">
        <v>1657533</v>
      </c>
      <c r="D153" s="76">
        <f t="shared" ref="D153:O153" si="81">SUM(D149:D152)</f>
        <v>173089</v>
      </c>
      <c r="E153" s="76">
        <f t="shared" si="81"/>
        <v>66061</v>
      </c>
      <c r="F153" s="76">
        <f t="shared" si="81"/>
        <v>16459</v>
      </c>
      <c r="G153" s="76">
        <f t="shared" si="81"/>
        <v>43016</v>
      </c>
      <c r="H153" s="76">
        <f t="shared" si="81"/>
        <v>127475</v>
      </c>
      <c r="I153" s="76">
        <f t="shared" si="81"/>
        <v>170988</v>
      </c>
      <c r="J153" s="76">
        <f t="shared" si="81"/>
        <v>215345</v>
      </c>
      <c r="K153" s="76">
        <f t="shared" si="81"/>
        <v>247647</v>
      </c>
      <c r="L153" s="76">
        <f t="shared" si="81"/>
        <v>60807</v>
      </c>
      <c r="M153" s="76">
        <f t="shared" si="81"/>
        <v>207344</v>
      </c>
      <c r="N153" s="76">
        <f t="shared" si="81"/>
        <v>103142</v>
      </c>
      <c r="O153" s="76">
        <f t="shared" si="81"/>
        <v>226160</v>
      </c>
      <c r="P153" s="554"/>
      <c r="Q153" s="555"/>
      <c r="R153" s="557"/>
    </row>
    <row r="154" spans="1:18" s="558" customFormat="1" ht="15.75" x14ac:dyDescent="0.25">
      <c r="A154" s="536" t="s">
        <v>318</v>
      </c>
      <c r="B154" s="536" t="s">
        <v>319</v>
      </c>
      <c r="C154" s="76">
        <v>6142172</v>
      </c>
      <c r="D154" s="76">
        <f t="shared" ref="D154:O154" si="82">+D126+D153</f>
        <v>370268</v>
      </c>
      <c r="E154" s="76">
        <f t="shared" si="82"/>
        <v>312754</v>
      </c>
      <c r="F154" s="76">
        <f t="shared" si="82"/>
        <v>310222</v>
      </c>
      <c r="G154" s="76">
        <f t="shared" si="82"/>
        <v>474143</v>
      </c>
      <c r="H154" s="76">
        <f t="shared" si="82"/>
        <v>550537</v>
      </c>
      <c r="I154" s="76">
        <f t="shared" si="82"/>
        <v>542652</v>
      </c>
      <c r="J154" s="76">
        <f t="shared" si="82"/>
        <v>470451</v>
      </c>
      <c r="K154" s="76">
        <f t="shared" si="82"/>
        <v>552637</v>
      </c>
      <c r="L154" s="76">
        <f t="shared" si="82"/>
        <v>619451</v>
      </c>
      <c r="M154" s="76">
        <f t="shared" si="82"/>
        <v>589259</v>
      </c>
      <c r="N154" s="76">
        <f t="shared" si="82"/>
        <v>554879</v>
      </c>
      <c r="O154" s="76">
        <f t="shared" si="82"/>
        <v>794919</v>
      </c>
      <c r="P154" s="554"/>
      <c r="Q154" s="556"/>
      <c r="R154" s="557"/>
    </row>
    <row r="155" spans="1:18" ht="15.75" x14ac:dyDescent="0.25">
      <c r="A155" s="536"/>
      <c r="B155" s="562"/>
      <c r="C155" s="563"/>
      <c r="D155" s="564"/>
      <c r="E155" s="564"/>
      <c r="F155" s="564"/>
      <c r="G155" s="564"/>
      <c r="H155" s="564"/>
      <c r="I155" s="564"/>
      <c r="J155" s="564"/>
      <c r="K155" s="564"/>
      <c r="L155" s="564"/>
      <c r="M155" s="564"/>
      <c r="N155" s="564"/>
      <c r="O155" s="564"/>
      <c r="P155" s="565"/>
    </row>
    <row r="156" spans="1:18" x14ac:dyDescent="0.25">
      <c r="C156" s="566"/>
      <c r="D156" s="566"/>
      <c r="E156" s="566"/>
      <c r="F156" s="566"/>
      <c r="G156" s="566"/>
      <c r="H156" s="566"/>
      <c r="I156" s="566"/>
      <c r="J156" s="566"/>
      <c r="K156" s="566"/>
      <c r="L156" s="566"/>
      <c r="M156" s="566"/>
      <c r="N156" s="566"/>
      <c r="O156" s="566"/>
    </row>
  </sheetData>
  <sheetProtection selectLockedCells="1" selectUnlockedCells="1"/>
  <printOptions horizontalCentered="1"/>
  <pageMargins left="0.36180555555555555" right="0.40972222222222221" top="0.31527777777777777" bottom="0.31527777777777777" header="0.51180555555555551" footer="0.15763888888888888"/>
  <pageSetup paperSize="9" scale="55" firstPageNumber="0" orientation="landscape" horizontalDpi="300" verticalDpi="300" r:id="rId1"/>
  <headerFooter alignWithMargins="0">
    <oddFooter>&amp;R&amp;P</oddFooter>
  </headerFooter>
  <rowBreaks count="1" manualBreakCount="1">
    <brk id="7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263"/>
  <sheetViews>
    <sheetView view="pageBreakPreview" zoomScale="80" zoomScaleSheetLayoutView="80" workbookViewId="0">
      <selection activeCell="F2" sqref="F2"/>
    </sheetView>
  </sheetViews>
  <sheetFormatPr defaultRowHeight="15.75" x14ac:dyDescent="0.25"/>
  <cols>
    <col min="1" max="1" width="77" style="2" customWidth="1"/>
    <col min="2" max="2" width="10.140625" style="2" customWidth="1"/>
    <col min="3" max="3" width="15.42578125" style="567" customWidth="1"/>
    <col min="4" max="4" width="13.7109375" style="2" customWidth="1"/>
    <col min="5" max="5" width="14.42578125" style="2" customWidth="1"/>
    <col min="6" max="6" width="13.7109375" style="2" customWidth="1"/>
    <col min="7" max="7" width="13.140625" style="2" customWidth="1"/>
    <col min="8" max="16384" width="9.140625" style="2"/>
  </cols>
  <sheetData>
    <row r="1" spans="1:12" x14ac:dyDescent="0.25">
      <c r="A1" s="16"/>
      <c r="F1" s="4" t="s">
        <v>893</v>
      </c>
    </row>
    <row r="2" spans="1:12" x14ac:dyDescent="0.25">
      <c r="A2" s="16"/>
      <c r="F2" s="5" t="s">
        <v>808</v>
      </c>
    </row>
    <row r="3" spans="1:12" ht="18.75" x14ac:dyDescent="0.3">
      <c r="A3" s="541" t="s">
        <v>767</v>
      </c>
      <c r="B3" s="25"/>
      <c r="C3" s="197"/>
      <c r="D3" s="25"/>
      <c r="E3" s="25"/>
      <c r="F3" s="25"/>
    </row>
    <row r="4" spans="1:12" x14ac:dyDescent="0.25">
      <c r="A4" s="31"/>
      <c r="B4" s="30"/>
      <c r="C4" s="568"/>
      <c r="D4" s="30"/>
      <c r="E4" s="30"/>
      <c r="F4" s="30"/>
    </row>
    <row r="5" spans="1:12" ht="36" customHeight="1" x14ac:dyDescent="0.35">
      <c r="A5" s="615" t="s">
        <v>894</v>
      </c>
      <c r="B5" s="615"/>
      <c r="C5" s="615"/>
      <c r="D5" s="615"/>
      <c r="E5" s="615"/>
      <c r="F5" s="615"/>
      <c r="G5" s="582"/>
      <c r="H5" s="582"/>
      <c r="I5" s="582"/>
      <c r="J5" s="582"/>
      <c r="K5" s="582"/>
      <c r="L5" s="582"/>
    </row>
    <row r="6" spans="1:12" x14ac:dyDescent="0.25">
      <c r="A6" s="547"/>
      <c r="B6"/>
      <c r="C6" s="569"/>
      <c r="G6" s="570"/>
    </row>
    <row r="7" spans="1:12" ht="31.5" x14ac:dyDescent="0.25">
      <c r="A7" s="8" t="s">
        <v>8</v>
      </c>
      <c r="B7" s="542" t="s">
        <v>33</v>
      </c>
      <c r="C7" s="571" t="s">
        <v>895</v>
      </c>
      <c r="D7" s="571" t="s">
        <v>896</v>
      </c>
      <c r="E7" s="571" t="s">
        <v>897</v>
      </c>
      <c r="F7" s="571" t="s">
        <v>898</v>
      </c>
      <c r="G7" s="572"/>
    </row>
    <row r="8" spans="1:12" x14ac:dyDescent="0.25">
      <c r="A8" s="39" t="s">
        <v>34</v>
      </c>
      <c r="B8" s="40" t="s">
        <v>35</v>
      </c>
      <c r="C8" s="13">
        <v>1606948.7749999999</v>
      </c>
      <c r="D8" s="13">
        <v>1606948.7749999999</v>
      </c>
      <c r="E8" s="13">
        <v>1623018</v>
      </c>
      <c r="F8" s="13">
        <v>1639248</v>
      </c>
      <c r="G8" s="572"/>
    </row>
    <row r="9" spans="1:12" x14ac:dyDescent="0.25">
      <c r="A9" s="41" t="s">
        <v>36</v>
      </c>
      <c r="B9" s="40" t="s">
        <v>37</v>
      </c>
      <c r="C9" s="13">
        <v>104068.981</v>
      </c>
      <c r="D9" s="13">
        <v>104068.981</v>
      </c>
      <c r="E9" s="13">
        <v>105110</v>
      </c>
      <c r="F9" s="13">
        <v>106161</v>
      </c>
      <c r="G9" s="573"/>
    </row>
    <row r="10" spans="1:12" x14ac:dyDescent="0.25">
      <c r="A10" s="42" t="s">
        <v>38</v>
      </c>
      <c r="B10" s="43" t="s">
        <v>39</v>
      </c>
      <c r="C10" s="14">
        <v>1711017.7559999998</v>
      </c>
      <c r="D10" s="14">
        <v>1711017.7559999998</v>
      </c>
      <c r="E10" s="14">
        <v>1728128</v>
      </c>
      <c r="F10" s="14">
        <v>1745409</v>
      </c>
    </row>
    <row r="11" spans="1:12" x14ac:dyDescent="0.25">
      <c r="A11" s="44" t="s">
        <v>561</v>
      </c>
      <c r="B11" s="43" t="s">
        <v>41</v>
      </c>
      <c r="C11" s="13">
        <v>304032.75699999998</v>
      </c>
      <c r="D11" s="14">
        <v>299428</v>
      </c>
      <c r="E11" s="14">
        <v>302422</v>
      </c>
      <c r="F11" s="14">
        <v>305447</v>
      </c>
      <c r="G11" s="16"/>
    </row>
    <row r="12" spans="1:12" x14ac:dyDescent="0.25">
      <c r="A12" s="41" t="s">
        <v>42</v>
      </c>
      <c r="B12" s="40" t="s">
        <v>43</v>
      </c>
      <c r="C12" s="13">
        <v>286310.79300000001</v>
      </c>
      <c r="D12" s="13">
        <v>270000</v>
      </c>
      <c r="E12" s="13">
        <v>272700</v>
      </c>
      <c r="F12" s="13">
        <v>275427</v>
      </c>
      <c r="G12" s="16"/>
    </row>
    <row r="13" spans="1:12" x14ac:dyDescent="0.25">
      <c r="A13" s="41" t="s">
        <v>44</v>
      </c>
      <c r="B13" s="40" t="s">
        <v>45</v>
      </c>
      <c r="C13" s="13">
        <v>14318.942999999999</v>
      </c>
      <c r="D13" s="13">
        <v>15000</v>
      </c>
      <c r="E13" s="13">
        <v>15150</v>
      </c>
      <c r="F13" s="13">
        <v>15302</v>
      </c>
    </row>
    <row r="14" spans="1:12" x14ac:dyDescent="0.25">
      <c r="A14" s="41" t="s">
        <v>46</v>
      </c>
      <c r="B14" s="40" t="s">
        <v>47</v>
      </c>
      <c r="C14" s="13">
        <v>701955.28700000001</v>
      </c>
      <c r="D14" s="13">
        <v>501000</v>
      </c>
      <c r="E14" s="13">
        <v>506010</v>
      </c>
      <c r="F14" s="13">
        <v>511070</v>
      </c>
    </row>
    <row r="15" spans="1:12" x14ac:dyDescent="0.25">
      <c r="A15" s="41" t="s">
        <v>48</v>
      </c>
      <c r="B15" s="40" t="s">
        <v>49</v>
      </c>
      <c r="C15" s="13">
        <v>48968.190999999999</v>
      </c>
      <c r="D15" s="13">
        <v>36500</v>
      </c>
      <c r="E15" s="13">
        <v>18250</v>
      </c>
      <c r="F15" s="13">
        <v>7300</v>
      </c>
    </row>
    <row r="16" spans="1:12" x14ac:dyDescent="0.25">
      <c r="A16" s="41" t="s">
        <v>50</v>
      </c>
      <c r="B16" s="40" t="s">
        <v>51</v>
      </c>
      <c r="C16" s="13">
        <v>285490.02899999998</v>
      </c>
      <c r="D16" s="13">
        <v>205000</v>
      </c>
      <c r="E16" s="13">
        <v>180050</v>
      </c>
      <c r="F16" s="13">
        <v>166851</v>
      </c>
    </row>
    <row r="17" spans="1:6" x14ac:dyDescent="0.25">
      <c r="A17" s="44" t="s">
        <v>52</v>
      </c>
      <c r="B17" s="43" t="s">
        <v>53</v>
      </c>
      <c r="C17" s="14">
        <v>1337043.2430000002</v>
      </c>
      <c r="D17" s="14">
        <v>1027500</v>
      </c>
      <c r="E17" s="14">
        <v>992160</v>
      </c>
      <c r="F17" s="14">
        <v>975950</v>
      </c>
    </row>
    <row r="18" spans="1:6" x14ac:dyDescent="0.25">
      <c r="A18" s="45" t="s">
        <v>54</v>
      </c>
      <c r="B18" s="43" t="s">
        <v>55</v>
      </c>
      <c r="C18" s="13">
        <v>60000</v>
      </c>
      <c r="D18" s="574">
        <v>60000</v>
      </c>
      <c r="E18" s="574">
        <v>60000</v>
      </c>
      <c r="F18" s="574">
        <v>60000</v>
      </c>
    </row>
    <row r="19" spans="1:6" x14ac:dyDescent="0.25">
      <c r="A19" s="46" t="s">
        <v>56</v>
      </c>
      <c r="B19" s="40" t="s">
        <v>57</v>
      </c>
      <c r="C19" s="13">
        <v>0</v>
      </c>
      <c r="D19" s="13">
        <v>0</v>
      </c>
      <c r="E19" s="13">
        <v>0</v>
      </c>
      <c r="F19" s="13">
        <v>0</v>
      </c>
    </row>
    <row r="20" spans="1:6" x14ac:dyDescent="0.25">
      <c r="A20" s="46" t="s">
        <v>58</v>
      </c>
      <c r="B20" s="40" t="s">
        <v>59</v>
      </c>
      <c r="C20" s="13">
        <v>10434.5</v>
      </c>
      <c r="D20" s="13">
        <v>0</v>
      </c>
      <c r="E20" s="13">
        <v>0</v>
      </c>
      <c r="F20" s="13">
        <v>0</v>
      </c>
    </row>
    <row r="21" spans="1:6" x14ac:dyDescent="0.25">
      <c r="A21" s="46" t="s">
        <v>60</v>
      </c>
      <c r="B21" s="40" t="s">
        <v>61</v>
      </c>
      <c r="C21" s="13">
        <v>0</v>
      </c>
      <c r="D21" s="13">
        <v>0</v>
      </c>
      <c r="E21" s="13">
        <v>0</v>
      </c>
      <c r="F21" s="13">
        <v>0</v>
      </c>
    </row>
    <row r="22" spans="1:6" x14ac:dyDescent="0.25">
      <c r="A22" s="46" t="s">
        <v>62</v>
      </c>
      <c r="B22" s="40" t="s">
        <v>63</v>
      </c>
      <c r="C22" s="13">
        <v>0</v>
      </c>
      <c r="D22" s="13">
        <v>0</v>
      </c>
      <c r="E22" s="13">
        <v>0</v>
      </c>
      <c r="F22" s="13">
        <v>0</v>
      </c>
    </row>
    <row r="23" spans="1:6" x14ac:dyDescent="0.25">
      <c r="A23" s="46" t="s">
        <v>587</v>
      </c>
      <c r="B23" s="40" t="s">
        <v>65</v>
      </c>
      <c r="C23" s="13">
        <v>0</v>
      </c>
      <c r="D23" s="13">
        <v>0</v>
      </c>
      <c r="E23" s="13">
        <v>0</v>
      </c>
      <c r="F23" s="13">
        <v>0</v>
      </c>
    </row>
    <row r="24" spans="1:6" x14ac:dyDescent="0.25">
      <c r="A24" s="46" t="s">
        <v>66</v>
      </c>
      <c r="B24" s="40" t="s">
        <v>67</v>
      </c>
      <c r="C24" s="13">
        <v>9555.4560000000001</v>
      </c>
      <c r="D24" s="575">
        <v>0</v>
      </c>
      <c r="E24" s="575">
        <v>0</v>
      </c>
      <c r="F24" s="575">
        <v>0</v>
      </c>
    </row>
    <row r="25" spans="1:6" x14ac:dyDescent="0.25">
      <c r="A25" s="46" t="s">
        <v>68</v>
      </c>
      <c r="B25" s="40" t="s">
        <v>69</v>
      </c>
      <c r="C25" s="13">
        <v>0</v>
      </c>
      <c r="D25" s="13">
        <v>0</v>
      </c>
      <c r="E25" s="13">
        <v>0</v>
      </c>
      <c r="F25" s="13">
        <v>0</v>
      </c>
    </row>
    <row r="26" spans="1:6" x14ac:dyDescent="0.25">
      <c r="A26" s="46" t="s">
        <v>70</v>
      </c>
      <c r="B26" s="40" t="s">
        <v>71</v>
      </c>
      <c r="C26" s="13">
        <v>0</v>
      </c>
      <c r="D26" s="13">
        <v>0</v>
      </c>
      <c r="E26" s="13">
        <v>0</v>
      </c>
      <c r="F26" s="13">
        <v>0</v>
      </c>
    </row>
    <row r="27" spans="1:6" x14ac:dyDescent="0.25">
      <c r="A27" s="46" t="s">
        <v>72</v>
      </c>
      <c r="B27" s="40" t="s">
        <v>73</v>
      </c>
      <c r="C27" s="13">
        <v>0</v>
      </c>
      <c r="D27" s="13">
        <v>0</v>
      </c>
      <c r="E27" s="13">
        <v>0</v>
      </c>
      <c r="F27" s="13">
        <v>0</v>
      </c>
    </row>
    <row r="28" spans="1:6" x14ac:dyDescent="0.25">
      <c r="A28" s="47" t="s">
        <v>74</v>
      </c>
      <c r="B28" s="40" t="s">
        <v>75</v>
      </c>
      <c r="C28" s="13">
        <v>0</v>
      </c>
      <c r="D28" s="13">
        <v>0</v>
      </c>
      <c r="E28" s="13">
        <v>0</v>
      </c>
      <c r="F28" s="13">
        <v>0</v>
      </c>
    </row>
    <row r="29" spans="1:6" x14ac:dyDescent="0.25">
      <c r="A29" s="46" t="s">
        <v>76</v>
      </c>
      <c r="B29" s="40" t="s">
        <v>77</v>
      </c>
      <c r="C29" s="13">
        <v>0</v>
      </c>
      <c r="D29" s="13">
        <v>0</v>
      </c>
      <c r="E29" s="13">
        <v>0</v>
      </c>
      <c r="F29" s="13">
        <v>0</v>
      </c>
    </row>
    <row r="30" spans="1:6" x14ac:dyDescent="0.25">
      <c r="A30" s="46" t="s">
        <v>78</v>
      </c>
      <c r="B30" s="40" t="s">
        <v>79</v>
      </c>
      <c r="C30" s="13">
        <v>56190</v>
      </c>
      <c r="D30" s="13">
        <v>30000</v>
      </c>
      <c r="E30" s="13">
        <v>30000</v>
      </c>
      <c r="F30" s="13">
        <v>25000</v>
      </c>
    </row>
    <row r="31" spans="1:6" x14ac:dyDescent="0.25">
      <c r="A31" s="47" t="s">
        <v>80</v>
      </c>
      <c r="B31" s="40" t="s">
        <v>81</v>
      </c>
      <c r="C31" s="13">
        <v>20000</v>
      </c>
      <c r="D31" s="13">
        <v>20000</v>
      </c>
      <c r="E31" s="13">
        <v>20000</v>
      </c>
      <c r="F31" s="13">
        <v>20000</v>
      </c>
    </row>
    <row r="32" spans="1:6" x14ac:dyDescent="0.25">
      <c r="A32" s="47" t="s">
        <v>82</v>
      </c>
      <c r="B32" s="40" t="s">
        <v>81</v>
      </c>
      <c r="C32" s="13">
        <v>4800</v>
      </c>
      <c r="D32" s="13">
        <v>4800</v>
      </c>
      <c r="E32" s="13">
        <v>4800</v>
      </c>
      <c r="F32" s="13">
        <v>4800</v>
      </c>
    </row>
    <row r="33" spans="1:6" x14ac:dyDescent="0.25">
      <c r="A33" s="45" t="s">
        <v>83</v>
      </c>
      <c r="B33" s="43" t="s">
        <v>84</v>
      </c>
      <c r="C33" s="14">
        <v>100979.95600000001</v>
      </c>
      <c r="D33" s="14">
        <v>54800</v>
      </c>
      <c r="E33" s="14">
        <v>54800</v>
      </c>
      <c r="F33" s="14">
        <v>49800</v>
      </c>
    </row>
    <row r="34" spans="1:6" x14ac:dyDescent="0.25">
      <c r="A34" s="48" t="s">
        <v>85</v>
      </c>
      <c r="B34" s="49" t="s">
        <v>86</v>
      </c>
      <c r="C34" s="50">
        <v>3513073.7120000003</v>
      </c>
      <c r="D34" s="50">
        <v>3152745.7560000001</v>
      </c>
      <c r="E34" s="50">
        <v>3137510</v>
      </c>
      <c r="F34" s="50">
        <v>3136606</v>
      </c>
    </row>
    <row r="35" spans="1:6" x14ac:dyDescent="0.25">
      <c r="A35" s="51" t="s">
        <v>87</v>
      </c>
      <c r="B35" s="40" t="s">
        <v>88</v>
      </c>
      <c r="C35" s="13">
        <v>106</v>
      </c>
      <c r="D35" s="13"/>
      <c r="E35" s="13">
        <v>0</v>
      </c>
      <c r="F35" s="13">
        <v>0</v>
      </c>
    </row>
    <row r="36" spans="1:6" x14ac:dyDescent="0.25">
      <c r="A36" s="51" t="s">
        <v>89</v>
      </c>
      <c r="B36" s="40" t="s">
        <v>90</v>
      </c>
      <c r="C36" s="13">
        <v>325436.641</v>
      </c>
      <c r="D36" s="13">
        <v>118109</v>
      </c>
      <c r="E36" s="13">
        <v>0</v>
      </c>
      <c r="F36" s="13">
        <v>0</v>
      </c>
    </row>
    <row r="37" spans="1:6" x14ac:dyDescent="0.25">
      <c r="A37" s="51" t="s">
        <v>91</v>
      </c>
      <c r="B37" s="40" t="s">
        <v>92</v>
      </c>
      <c r="C37" s="13">
        <v>2260.8420000000001</v>
      </c>
      <c r="D37" s="13">
        <v>500</v>
      </c>
      <c r="E37" s="13">
        <v>500</v>
      </c>
      <c r="F37" s="13">
        <v>500</v>
      </c>
    </row>
    <row r="38" spans="1:6" x14ac:dyDescent="0.25">
      <c r="A38" s="51" t="s">
        <v>93</v>
      </c>
      <c r="B38" s="40" t="s">
        <v>94</v>
      </c>
      <c r="C38" s="13">
        <v>531333.88399999996</v>
      </c>
      <c r="D38" s="13">
        <v>90000</v>
      </c>
      <c r="E38" s="13">
        <v>85000</v>
      </c>
      <c r="F38" s="13">
        <v>82000</v>
      </c>
    </row>
    <row r="39" spans="1:6" x14ac:dyDescent="0.25">
      <c r="A39" s="52" t="s">
        <v>95</v>
      </c>
      <c r="B39" s="40" t="s">
        <v>96</v>
      </c>
      <c r="C39" s="13">
        <v>0</v>
      </c>
      <c r="D39" s="13">
        <v>0</v>
      </c>
      <c r="E39" s="13">
        <v>0</v>
      </c>
      <c r="F39" s="13">
        <v>0</v>
      </c>
    </row>
    <row r="40" spans="1:6" x14ac:dyDescent="0.25">
      <c r="A40" s="52" t="s">
        <v>97</v>
      </c>
      <c r="B40" s="40" t="s">
        <v>98</v>
      </c>
      <c r="C40" s="13">
        <v>0</v>
      </c>
      <c r="D40" s="13">
        <v>0</v>
      </c>
      <c r="E40" s="13">
        <v>0</v>
      </c>
      <c r="F40" s="13">
        <v>0</v>
      </c>
    </row>
    <row r="41" spans="1:6" x14ac:dyDescent="0.25">
      <c r="A41" s="52" t="s">
        <v>99</v>
      </c>
      <c r="B41" s="40" t="s">
        <v>100</v>
      </c>
      <c r="C41" s="13">
        <v>199120.516</v>
      </c>
      <c r="D41" s="13">
        <v>56325</v>
      </c>
      <c r="E41" s="13">
        <v>23085</v>
      </c>
      <c r="F41" s="13">
        <v>22275</v>
      </c>
    </row>
    <row r="42" spans="1:6" x14ac:dyDescent="0.25">
      <c r="A42" s="53" t="s">
        <v>101</v>
      </c>
      <c r="B42" s="43" t="s">
        <v>102</v>
      </c>
      <c r="C42" s="14">
        <v>1058257.8829999999</v>
      </c>
      <c r="D42" s="14">
        <v>264934</v>
      </c>
      <c r="E42" s="14">
        <v>108585</v>
      </c>
      <c r="F42" s="14">
        <v>104775</v>
      </c>
    </row>
    <row r="43" spans="1:6" x14ac:dyDescent="0.25">
      <c r="A43" s="54" t="s">
        <v>103</v>
      </c>
      <c r="B43" s="40" t="s">
        <v>104</v>
      </c>
      <c r="C43" s="13">
        <v>1122044.6070000001</v>
      </c>
      <c r="D43" s="13">
        <v>350000</v>
      </c>
      <c r="E43" s="13">
        <v>220000</v>
      </c>
      <c r="F43" s="13">
        <v>150000</v>
      </c>
    </row>
    <row r="44" spans="1:6" x14ac:dyDescent="0.25">
      <c r="A44" s="54" t="s">
        <v>105</v>
      </c>
      <c r="B44" s="40" t="s">
        <v>106</v>
      </c>
      <c r="C44" s="13">
        <v>0</v>
      </c>
      <c r="D44" s="13">
        <v>0</v>
      </c>
      <c r="E44" s="13">
        <v>0</v>
      </c>
      <c r="F44" s="13">
        <v>0</v>
      </c>
    </row>
    <row r="45" spans="1:6" x14ac:dyDescent="0.25">
      <c r="A45" s="54" t="s">
        <v>107</v>
      </c>
      <c r="B45" s="40" t="s">
        <v>108</v>
      </c>
      <c r="C45" s="13">
        <v>0</v>
      </c>
      <c r="D45" s="13"/>
      <c r="E45" s="13">
        <v>0</v>
      </c>
      <c r="F45" s="13">
        <v>0</v>
      </c>
    </row>
    <row r="46" spans="1:6" x14ac:dyDescent="0.25">
      <c r="A46" s="54" t="s">
        <v>109</v>
      </c>
      <c r="B46" s="40" t="s">
        <v>110</v>
      </c>
      <c r="C46" s="13">
        <v>306345.53200000001</v>
      </c>
      <c r="D46" s="13">
        <v>94500</v>
      </c>
      <c r="E46" s="13">
        <v>59400</v>
      </c>
      <c r="F46" s="13">
        <v>40500</v>
      </c>
    </row>
    <row r="47" spans="1:6" x14ac:dyDescent="0.25">
      <c r="A47" s="44" t="s">
        <v>111</v>
      </c>
      <c r="B47" s="43" t="s">
        <v>112</v>
      </c>
      <c r="C47" s="14">
        <v>1428390.139</v>
      </c>
      <c r="D47" s="14">
        <v>444500</v>
      </c>
      <c r="E47" s="14">
        <v>279400</v>
      </c>
      <c r="F47" s="14">
        <v>190500</v>
      </c>
    </row>
    <row r="48" spans="1:6" x14ac:dyDescent="0.25">
      <c r="A48" s="54" t="s">
        <v>872</v>
      </c>
      <c r="B48" s="40" t="s">
        <v>114</v>
      </c>
      <c r="C48" s="13">
        <v>0</v>
      </c>
      <c r="D48" s="13">
        <v>0</v>
      </c>
      <c r="E48" s="13">
        <v>0</v>
      </c>
      <c r="F48" s="13">
        <v>0</v>
      </c>
    </row>
    <row r="49" spans="1:6" x14ac:dyDescent="0.25">
      <c r="A49" s="54" t="s">
        <v>590</v>
      </c>
      <c r="B49" s="40" t="s">
        <v>116</v>
      </c>
      <c r="C49" s="13">
        <v>0</v>
      </c>
      <c r="D49" s="13">
        <v>0</v>
      </c>
      <c r="E49" s="13">
        <v>0</v>
      </c>
      <c r="F49" s="13">
        <v>0</v>
      </c>
    </row>
    <row r="50" spans="1:6" x14ac:dyDescent="0.25">
      <c r="A50" s="54" t="s">
        <v>873</v>
      </c>
      <c r="B50" s="40" t="s">
        <v>118</v>
      </c>
      <c r="C50" s="13">
        <v>0</v>
      </c>
      <c r="D50" s="13">
        <v>0</v>
      </c>
      <c r="E50" s="13">
        <v>0</v>
      </c>
      <c r="F50" s="13">
        <v>0</v>
      </c>
    </row>
    <row r="51" spans="1:6" x14ac:dyDescent="0.25">
      <c r="A51" s="54" t="s">
        <v>119</v>
      </c>
      <c r="B51" s="40" t="s">
        <v>120</v>
      </c>
      <c r="C51" s="13">
        <v>0</v>
      </c>
      <c r="D51" s="13">
        <v>0</v>
      </c>
      <c r="E51" s="13">
        <v>0</v>
      </c>
      <c r="F51" s="13">
        <v>0</v>
      </c>
    </row>
    <row r="52" spans="1:6" x14ac:dyDescent="0.25">
      <c r="A52" s="54" t="s">
        <v>874</v>
      </c>
      <c r="B52" s="40" t="s">
        <v>122</v>
      </c>
      <c r="C52" s="13">
        <v>13101</v>
      </c>
      <c r="D52" s="13">
        <v>0</v>
      </c>
      <c r="E52" s="13">
        <v>0</v>
      </c>
      <c r="F52" s="13">
        <v>0</v>
      </c>
    </row>
    <row r="53" spans="1:6" x14ac:dyDescent="0.25">
      <c r="A53" s="54" t="s">
        <v>875</v>
      </c>
      <c r="B53" s="40" t="s">
        <v>124</v>
      </c>
      <c r="C53" s="13">
        <v>0</v>
      </c>
      <c r="D53" s="13">
        <v>0</v>
      </c>
      <c r="E53" s="13">
        <v>0</v>
      </c>
      <c r="F53" s="13">
        <v>0</v>
      </c>
    </row>
    <row r="54" spans="1:6" x14ac:dyDescent="0.25">
      <c r="A54" s="54" t="s">
        <v>125</v>
      </c>
      <c r="B54" s="40" t="s">
        <v>126</v>
      </c>
      <c r="C54" s="13">
        <v>0</v>
      </c>
      <c r="D54" s="13">
        <v>0</v>
      </c>
      <c r="E54" s="13">
        <v>0</v>
      </c>
      <c r="F54" s="13">
        <v>0</v>
      </c>
    </row>
    <row r="55" spans="1:6" x14ac:dyDescent="0.25">
      <c r="A55" s="54" t="s">
        <v>127</v>
      </c>
      <c r="B55" s="40" t="s">
        <v>128</v>
      </c>
      <c r="C55" s="13">
        <v>0</v>
      </c>
      <c r="D55" s="13">
        <v>0</v>
      </c>
      <c r="E55" s="13">
        <v>0</v>
      </c>
      <c r="F55" s="13">
        <v>0</v>
      </c>
    </row>
    <row r="56" spans="1:6" x14ac:dyDescent="0.25">
      <c r="A56" s="54" t="s">
        <v>129</v>
      </c>
      <c r="B56" s="40" t="s">
        <v>130</v>
      </c>
      <c r="C56" s="13">
        <v>0</v>
      </c>
      <c r="D56" s="13">
        <v>0</v>
      </c>
      <c r="E56" s="13">
        <v>0</v>
      </c>
      <c r="F56" s="13">
        <v>0</v>
      </c>
    </row>
    <row r="57" spans="1:6" x14ac:dyDescent="0.25">
      <c r="A57" s="45" t="s">
        <v>131</v>
      </c>
      <c r="B57" s="43" t="s">
        <v>132</v>
      </c>
      <c r="C57" s="14">
        <v>13101</v>
      </c>
      <c r="D57" s="14">
        <v>0</v>
      </c>
      <c r="E57" s="14">
        <v>0</v>
      </c>
      <c r="F57" s="14">
        <v>0</v>
      </c>
    </row>
    <row r="58" spans="1:6" x14ac:dyDescent="0.25">
      <c r="A58" s="48" t="s">
        <v>133</v>
      </c>
      <c r="B58" s="49" t="s">
        <v>134</v>
      </c>
      <c r="C58" s="50">
        <v>2499749.0219999999</v>
      </c>
      <c r="D58" s="50">
        <v>709434</v>
      </c>
      <c r="E58" s="50">
        <v>387985</v>
      </c>
      <c r="F58" s="50">
        <v>295275</v>
      </c>
    </row>
    <row r="59" spans="1:6" x14ac:dyDescent="0.25">
      <c r="A59" s="55" t="s">
        <v>135</v>
      </c>
      <c r="B59" s="56" t="s">
        <v>136</v>
      </c>
      <c r="C59" s="57">
        <v>6012822.7340000002</v>
      </c>
      <c r="D59" s="57">
        <v>3862179.7560000001</v>
      </c>
      <c r="E59" s="57">
        <v>3525495</v>
      </c>
      <c r="F59" s="57">
        <v>3431881</v>
      </c>
    </row>
    <row r="60" spans="1:6" x14ac:dyDescent="0.25">
      <c r="A60" s="54" t="s">
        <v>137</v>
      </c>
      <c r="B60" s="41" t="s">
        <v>138</v>
      </c>
      <c r="C60" s="13">
        <v>0</v>
      </c>
      <c r="D60" s="13">
        <v>0</v>
      </c>
      <c r="E60" s="13">
        <v>0</v>
      </c>
      <c r="F60" s="13">
        <v>0</v>
      </c>
    </row>
    <row r="61" spans="1:6" x14ac:dyDescent="0.25">
      <c r="A61" s="54" t="s">
        <v>139</v>
      </c>
      <c r="B61" s="41" t="s">
        <v>140</v>
      </c>
      <c r="C61" s="13">
        <v>0</v>
      </c>
      <c r="D61" s="13">
        <v>0</v>
      </c>
      <c r="E61" s="13">
        <v>0</v>
      </c>
      <c r="F61" s="13">
        <v>0</v>
      </c>
    </row>
    <row r="62" spans="1:6" x14ac:dyDescent="0.25">
      <c r="A62" s="54" t="s">
        <v>141</v>
      </c>
      <c r="B62" s="41" t="s">
        <v>142</v>
      </c>
      <c r="C62" s="13">
        <v>88500</v>
      </c>
      <c r="D62" s="13">
        <v>88500</v>
      </c>
      <c r="E62" s="13">
        <v>88500</v>
      </c>
      <c r="F62" s="13">
        <v>88500</v>
      </c>
    </row>
    <row r="63" spans="1:6" x14ac:dyDescent="0.25">
      <c r="A63" s="45" t="s">
        <v>143</v>
      </c>
      <c r="B63" s="44" t="s">
        <v>144</v>
      </c>
      <c r="C63" s="58">
        <v>88500</v>
      </c>
      <c r="D63" s="58">
        <v>88500</v>
      </c>
      <c r="E63" s="58">
        <v>88500</v>
      </c>
      <c r="F63" s="58">
        <v>88500</v>
      </c>
    </row>
    <row r="64" spans="1:6" x14ac:dyDescent="0.25">
      <c r="A64" s="59" t="s">
        <v>145</v>
      </c>
      <c r="B64" s="41" t="s">
        <v>146</v>
      </c>
      <c r="C64" s="13">
        <v>0</v>
      </c>
      <c r="D64" s="13">
        <v>0</v>
      </c>
      <c r="E64" s="13">
        <v>0</v>
      </c>
      <c r="F64" s="13">
        <v>0</v>
      </c>
    </row>
    <row r="65" spans="1:6" x14ac:dyDescent="0.25">
      <c r="A65" s="59" t="s">
        <v>147</v>
      </c>
      <c r="B65" s="41" t="s">
        <v>148</v>
      </c>
      <c r="C65" s="13">
        <v>0</v>
      </c>
      <c r="D65" s="13">
        <v>0</v>
      </c>
      <c r="E65" s="13">
        <v>0</v>
      </c>
      <c r="F65" s="13">
        <v>0</v>
      </c>
    </row>
    <row r="66" spans="1:6" x14ac:dyDescent="0.25">
      <c r="A66" s="59" t="s">
        <v>149</v>
      </c>
      <c r="B66" s="41" t="s">
        <v>150</v>
      </c>
      <c r="C66" s="13">
        <v>40849.120000000003</v>
      </c>
      <c r="D66" s="13">
        <v>0</v>
      </c>
      <c r="E66" s="13">
        <v>0</v>
      </c>
      <c r="F66" s="13">
        <v>0</v>
      </c>
    </row>
    <row r="67" spans="1:6" x14ac:dyDescent="0.25">
      <c r="A67" s="59" t="s">
        <v>151</v>
      </c>
      <c r="B67" s="41" t="s">
        <v>152</v>
      </c>
      <c r="C67" s="13">
        <v>0</v>
      </c>
      <c r="D67" s="13">
        <v>0</v>
      </c>
      <c r="E67" s="13">
        <v>0</v>
      </c>
      <c r="F67" s="13">
        <v>0</v>
      </c>
    </row>
    <row r="68" spans="1:6" x14ac:dyDescent="0.25">
      <c r="A68" s="59" t="s">
        <v>153</v>
      </c>
      <c r="B68" s="41" t="s">
        <v>154</v>
      </c>
      <c r="C68" s="13">
        <v>0</v>
      </c>
      <c r="D68" s="13">
        <v>0</v>
      </c>
      <c r="E68" s="13">
        <v>0</v>
      </c>
      <c r="F68" s="13">
        <v>0</v>
      </c>
    </row>
    <row r="69" spans="1:6" x14ac:dyDescent="0.25">
      <c r="A69" s="59" t="s">
        <v>155</v>
      </c>
      <c r="B69" s="41" t="s">
        <v>156</v>
      </c>
      <c r="C69" s="13">
        <v>0</v>
      </c>
      <c r="D69" s="13">
        <v>0</v>
      </c>
      <c r="E69" s="13">
        <v>0</v>
      </c>
      <c r="F69" s="13">
        <v>0</v>
      </c>
    </row>
    <row r="70" spans="1:6" x14ac:dyDescent="0.25">
      <c r="A70" s="59" t="s">
        <v>157</v>
      </c>
      <c r="B70" s="41" t="s">
        <v>158</v>
      </c>
      <c r="C70" s="13">
        <v>0</v>
      </c>
      <c r="D70" s="13">
        <v>0</v>
      </c>
      <c r="E70" s="13">
        <v>0</v>
      </c>
      <c r="F70" s="13">
        <v>0</v>
      </c>
    </row>
    <row r="71" spans="1:6" x14ac:dyDescent="0.25">
      <c r="A71" s="59" t="s">
        <v>159</v>
      </c>
      <c r="B71" s="41" t="s">
        <v>160</v>
      </c>
      <c r="C71" s="13">
        <v>0</v>
      </c>
      <c r="D71" s="13">
        <v>0</v>
      </c>
      <c r="E71" s="13">
        <v>0</v>
      </c>
      <c r="F71" s="13">
        <v>0</v>
      </c>
    </row>
    <row r="72" spans="1:6" x14ac:dyDescent="0.25">
      <c r="A72" s="61" t="s">
        <v>161</v>
      </c>
      <c r="B72" s="44" t="s">
        <v>162</v>
      </c>
      <c r="C72" s="60">
        <v>129349.12</v>
      </c>
      <c r="D72" s="60">
        <v>88500</v>
      </c>
      <c r="E72" s="60">
        <v>88500</v>
      </c>
      <c r="F72" s="60">
        <v>88500</v>
      </c>
    </row>
    <row r="73" spans="1:6" hidden="1" x14ac:dyDescent="0.25">
      <c r="A73" s="59" t="s">
        <v>163</v>
      </c>
      <c r="B73" s="41" t="s">
        <v>164</v>
      </c>
      <c r="C73" s="13">
        <v>0</v>
      </c>
      <c r="D73" s="13">
        <v>0</v>
      </c>
      <c r="E73" s="13">
        <v>0</v>
      </c>
      <c r="F73" s="13">
        <v>0</v>
      </c>
    </row>
    <row r="74" spans="1:6" hidden="1" x14ac:dyDescent="0.25">
      <c r="A74" s="54" t="s">
        <v>165</v>
      </c>
      <c r="B74" s="41" t="s">
        <v>166</v>
      </c>
      <c r="C74" s="13">
        <v>0</v>
      </c>
      <c r="D74" s="13">
        <v>0</v>
      </c>
      <c r="E74" s="13">
        <v>0</v>
      </c>
      <c r="F74" s="13">
        <v>0</v>
      </c>
    </row>
    <row r="75" spans="1:6" hidden="1" x14ac:dyDescent="0.25">
      <c r="A75" s="54" t="s">
        <v>167</v>
      </c>
      <c r="B75" s="41" t="s">
        <v>168</v>
      </c>
      <c r="C75" s="13">
        <v>0</v>
      </c>
      <c r="D75" s="13">
        <v>0</v>
      </c>
      <c r="E75" s="13">
        <v>0</v>
      </c>
      <c r="F75" s="13">
        <v>0</v>
      </c>
    </row>
    <row r="76" spans="1:6" x14ac:dyDescent="0.25">
      <c r="A76" s="62" t="s">
        <v>169</v>
      </c>
      <c r="B76" s="63" t="s">
        <v>170</v>
      </c>
      <c r="C76" s="64">
        <v>129349.12</v>
      </c>
      <c r="D76" s="64">
        <v>88500</v>
      </c>
      <c r="E76" s="64">
        <v>88500</v>
      </c>
      <c r="F76" s="64">
        <v>88500</v>
      </c>
    </row>
    <row r="77" spans="1:6" x14ac:dyDescent="0.25">
      <c r="A77" s="17" t="s">
        <v>171</v>
      </c>
      <c r="B77" s="17" t="s">
        <v>172</v>
      </c>
      <c r="C77" s="18">
        <v>6142171.8540000003</v>
      </c>
      <c r="D77" s="18">
        <v>3950679.7560000001</v>
      </c>
      <c r="E77" s="18">
        <v>3613995</v>
      </c>
      <c r="F77" s="18">
        <v>3520381</v>
      </c>
    </row>
    <row r="78" spans="1:6" x14ac:dyDescent="0.25">
      <c r="C78" s="3"/>
      <c r="D78" s="3"/>
      <c r="E78" s="3"/>
      <c r="F78" s="3"/>
    </row>
    <row r="79" spans="1:6" hidden="1" x14ac:dyDescent="0.25">
      <c r="C79" s="579"/>
      <c r="D79" s="579"/>
      <c r="E79" s="579"/>
      <c r="F79" s="571"/>
    </row>
    <row r="80" spans="1:6" ht="31.5" x14ac:dyDescent="0.25">
      <c r="A80" s="8" t="s">
        <v>8</v>
      </c>
      <c r="B80" s="542" t="s">
        <v>173</v>
      </c>
      <c r="C80" s="571" t="str">
        <f>+C7</f>
        <v>2020. évi terv</v>
      </c>
      <c r="D80" s="571" t="str">
        <f>+D7</f>
        <v>2021. évi terv</v>
      </c>
      <c r="E80" s="571" t="str">
        <f>+E7</f>
        <v>2022. évi terv</v>
      </c>
      <c r="F80" s="571" t="str">
        <f>+F7</f>
        <v>2023. évi terv</v>
      </c>
    </row>
    <row r="81" spans="1:7" x14ac:dyDescent="0.25">
      <c r="A81" s="39" t="s">
        <v>174</v>
      </c>
      <c r="B81" s="52" t="s">
        <v>175</v>
      </c>
      <c r="C81" s="13">
        <v>231083.93100000001</v>
      </c>
      <c r="D81" s="13">
        <v>232000</v>
      </c>
      <c r="E81" s="13">
        <v>232000</v>
      </c>
      <c r="F81" s="13">
        <v>232000</v>
      </c>
    </row>
    <row r="82" spans="1:7" x14ac:dyDescent="0.25">
      <c r="A82" s="41" t="s">
        <v>176</v>
      </c>
      <c r="B82" s="52" t="s">
        <v>177</v>
      </c>
      <c r="C82" s="13">
        <v>188115.15</v>
      </c>
      <c r="D82" s="13">
        <v>188000</v>
      </c>
      <c r="E82" s="13">
        <v>198000</v>
      </c>
      <c r="F82" s="13">
        <v>208000</v>
      </c>
    </row>
    <row r="83" spans="1:7" x14ac:dyDescent="0.25">
      <c r="A83" s="41" t="s">
        <v>876</v>
      </c>
      <c r="B83" s="52" t="s">
        <v>179</v>
      </c>
      <c r="C83" s="13">
        <v>613313.11100000003</v>
      </c>
      <c r="D83" s="13">
        <v>620000</v>
      </c>
      <c r="E83" s="13">
        <v>622000</v>
      </c>
      <c r="F83" s="13">
        <v>625000</v>
      </c>
    </row>
    <row r="84" spans="1:7" x14ac:dyDescent="0.25">
      <c r="A84" s="41" t="s">
        <v>180</v>
      </c>
      <c r="B84" s="52" t="s">
        <v>181</v>
      </c>
      <c r="C84" s="13">
        <v>13684.689</v>
      </c>
      <c r="D84" s="13">
        <v>13500</v>
      </c>
      <c r="E84" s="13">
        <v>13500</v>
      </c>
      <c r="F84" s="13">
        <v>13500</v>
      </c>
    </row>
    <row r="85" spans="1:7" x14ac:dyDescent="0.25">
      <c r="A85" s="41" t="s">
        <v>182</v>
      </c>
      <c r="B85" s="52" t="s">
        <v>183</v>
      </c>
      <c r="C85" s="13">
        <v>178683.64199999999</v>
      </c>
      <c r="D85" s="13">
        <v>172000</v>
      </c>
      <c r="E85" s="13">
        <v>170000</v>
      </c>
      <c r="F85" s="13">
        <v>168000</v>
      </c>
    </row>
    <row r="86" spans="1:7" x14ac:dyDescent="0.25">
      <c r="A86" s="41" t="s">
        <v>184</v>
      </c>
      <c r="B86" s="52" t="s">
        <v>185</v>
      </c>
      <c r="C86" s="13">
        <v>0</v>
      </c>
      <c r="D86" s="13">
        <v>0</v>
      </c>
      <c r="E86" s="13">
        <v>0</v>
      </c>
      <c r="F86" s="13">
        <v>0</v>
      </c>
    </row>
    <row r="87" spans="1:7" x14ac:dyDescent="0.25">
      <c r="A87" s="44" t="s">
        <v>186</v>
      </c>
      <c r="B87" s="53" t="s">
        <v>187</v>
      </c>
      <c r="C87" s="14">
        <v>1224880.523</v>
      </c>
      <c r="D87" s="14">
        <v>1225500</v>
      </c>
      <c r="E87" s="14">
        <v>1235500</v>
      </c>
      <c r="F87" s="14">
        <v>1246500</v>
      </c>
    </row>
    <row r="88" spans="1:7" x14ac:dyDescent="0.25">
      <c r="A88" s="41" t="s">
        <v>188</v>
      </c>
      <c r="B88" s="52" t="s">
        <v>189</v>
      </c>
      <c r="C88" s="13">
        <v>0</v>
      </c>
      <c r="D88" s="13">
        <v>0</v>
      </c>
      <c r="E88" s="13">
        <v>0</v>
      </c>
      <c r="F88" s="13">
        <v>0</v>
      </c>
    </row>
    <row r="89" spans="1:7" x14ac:dyDescent="0.25">
      <c r="A89" s="41" t="s">
        <v>574</v>
      </c>
      <c r="B89" s="52" t="s">
        <v>191</v>
      </c>
      <c r="C89" s="13">
        <v>0</v>
      </c>
      <c r="D89" s="13">
        <v>0</v>
      </c>
      <c r="E89" s="13">
        <v>0</v>
      </c>
      <c r="F89" s="13">
        <v>0</v>
      </c>
    </row>
    <row r="90" spans="1:7" x14ac:dyDescent="0.25">
      <c r="A90" s="41" t="s">
        <v>575</v>
      </c>
      <c r="B90" s="52" t="s">
        <v>193</v>
      </c>
      <c r="C90" s="13">
        <v>0</v>
      </c>
      <c r="D90" s="13">
        <v>0</v>
      </c>
      <c r="E90" s="13">
        <v>0</v>
      </c>
      <c r="F90" s="13">
        <v>0</v>
      </c>
    </row>
    <row r="91" spans="1:7" x14ac:dyDescent="0.25">
      <c r="A91" s="41" t="s">
        <v>576</v>
      </c>
      <c r="B91" s="52" t="s">
        <v>195</v>
      </c>
      <c r="C91" s="13">
        <v>0</v>
      </c>
      <c r="D91" s="13">
        <v>0</v>
      </c>
      <c r="E91" s="13">
        <v>0</v>
      </c>
      <c r="F91" s="13">
        <v>0</v>
      </c>
    </row>
    <row r="92" spans="1:7" x14ac:dyDescent="0.25">
      <c r="A92" s="41" t="s">
        <v>196</v>
      </c>
      <c r="B92" s="52" t="s">
        <v>197</v>
      </c>
      <c r="C92" s="13">
        <v>942759.66</v>
      </c>
      <c r="D92" s="13">
        <v>242639</v>
      </c>
      <c r="E92" s="13">
        <v>175383</v>
      </c>
      <c r="F92" s="13">
        <v>74860</v>
      </c>
      <c r="G92" s="2" t="s">
        <v>899</v>
      </c>
    </row>
    <row r="93" spans="1:7" x14ac:dyDescent="0.25">
      <c r="A93" s="44" t="s">
        <v>198</v>
      </c>
      <c r="B93" s="53" t="s">
        <v>199</v>
      </c>
      <c r="C93" s="14">
        <v>2167640.1830000002</v>
      </c>
      <c r="D93" s="14">
        <v>1468139</v>
      </c>
      <c r="E93" s="14">
        <v>1410883</v>
      </c>
      <c r="F93" s="14">
        <v>1321360</v>
      </c>
    </row>
    <row r="94" spans="1:7" x14ac:dyDescent="0.25">
      <c r="A94" s="44" t="s">
        <v>200</v>
      </c>
      <c r="B94" s="53" t="s">
        <v>201</v>
      </c>
      <c r="C94" s="13">
        <v>1192909.621</v>
      </c>
      <c r="D94" s="14">
        <v>795140</v>
      </c>
      <c r="E94" s="14">
        <v>742713</v>
      </c>
      <c r="F94" s="14">
        <v>903042</v>
      </c>
    </row>
    <row r="95" spans="1:7" x14ac:dyDescent="0.25">
      <c r="A95" s="41" t="s">
        <v>202</v>
      </c>
      <c r="B95" s="52" t="s">
        <v>203</v>
      </c>
      <c r="C95" s="13">
        <v>0</v>
      </c>
      <c r="D95" s="13">
        <v>0</v>
      </c>
      <c r="E95" s="13">
        <v>0</v>
      </c>
      <c r="F95" s="13">
        <v>0</v>
      </c>
    </row>
    <row r="96" spans="1:7" x14ac:dyDescent="0.25">
      <c r="A96" s="41" t="s">
        <v>204</v>
      </c>
      <c r="B96" s="52" t="s">
        <v>205</v>
      </c>
      <c r="C96" s="13">
        <v>0</v>
      </c>
      <c r="D96" s="13">
        <v>0</v>
      </c>
      <c r="E96" s="13">
        <v>0</v>
      </c>
      <c r="F96" s="13">
        <v>0</v>
      </c>
    </row>
    <row r="97" spans="1:6" x14ac:dyDescent="0.25">
      <c r="A97" s="41" t="s">
        <v>206</v>
      </c>
      <c r="B97" s="52" t="s">
        <v>207</v>
      </c>
      <c r="C97" s="13">
        <v>0</v>
      </c>
      <c r="D97" s="13">
        <v>0</v>
      </c>
      <c r="E97" s="13">
        <v>0</v>
      </c>
      <c r="F97" s="13">
        <v>0</v>
      </c>
    </row>
    <row r="98" spans="1:6" x14ac:dyDescent="0.25">
      <c r="A98" s="41" t="s">
        <v>208</v>
      </c>
      <c r="B98" s="52" t="s">
        <v>209</v>
      </c>
      <c r="C98" s="13">
        <v>122800</v>
      </c>
      <c r="D98" s="13">
        <v>122500</v>
      </c>
      <c r="E98" s="13">
        <v>122500</v>
      </c>
      <c r="F98" s="13">
        <v>122500</v>
      </c>
    </row>
    <row r="99" spans="1:6" x14ac:dyDescent="0.25">
      <c r="A99" s="41" t="s">
        <v>210</v>
      </c>
      <c r="B99" s="52" t="s">
        <v>211</v>
      </c>
      <c r="C99" s="13">
        <v>379000</v>
      </c>
      <c r="D99" s="13">
        <v>379000</v>
      </c>
      <c r="E99" s="13">
        <v>379000</v>
      </c>
      <c r="F99" s="13">
        <v>379000</v>
      </c>
    </row>
    <row r="100" spans="1:6" x14ac:dyDescent="0.25">
      <c r="A100" s="41" t="s">
        <v>212</v>
      </c>
      <c r="B100" s="52" t="s">
        <v>213</v>
      </c>
      <c r="C100" s="13">
        <v>500</v>
      </c>
      <c r="D100" s="13">
        <v>500</v>
      </c>
      <c r="E100" s="13">
        <v>500</v>
      </c>
      <c r="F100" s="13">
        <v>500</v>
      </c>
    </row>
    <row r="101" spans="1:6" x14ac:dyDescent="0.25">
      <c r="A101" s="44" t="s">
        <v>214</v>
      </c>
      <c r="B101" s="53" t="s">
        <v>215</v>
      </c>
      <c r="C101" s="14">
        <v>502300</v>
      </c>
      <c r="D101" s="14">
        <v>502000</v>
      </c>
      <c r="E101" s="14">
        <v>502000</v>
      </c>
      <c r="F101" s="14">
        <v>502000</v>
      </c>
    </row>
    <row r="102" spans="1:6" x14ac:dyDescent="0.25">
      <c r="A102" s="54" t="s">
        <v>216</v>
      </c>
      <c r="B102" s="52" t="s">
        <v>217</v>
      </c>
      <c r="C102" s="13">
        <v>1044</v>
      </c>
      <c r="D102" s="13">
        <v>0</v>
      </c>
      <c r="E102" s="13">
        <v>0</v>
      </c>
      <c r="F102" s="13">
        <v>0</v>
      </c>
    </row>
    <row r="103" spans="1:6" x14ac:dyDescent="0.25">
      <c r="A103" s="54" t="s">
        <v>218</v>
      </c>
      <c r="B103" s="52" t="s">
        <v>219</v>
      </c>
      <c r="C103" s="13">
        <v>288073.26</v>
      </c>
      <c r="D103" s="13">
        <v>236000</v>
      </c>
      <c r="E103" s="13">
        <v>225000</v>
      </c>
      <c r="F103" s="13">
        <v>227000</v>
      </c>
    </row>
    <row r="104" spans="1:6" x14ac:dyDescent="0.25">
      <c r="A104" s="54" t="s">
        <v>220</v>
      </c>
      <c r="B104" s="52" t="s">
        <v>221</v>
      </c>
      <c r="C104" s="13">
        <v>321</v>
      </c>
      <c r="D104" s="13">
        <v>400</v>
      </c>
      <c r="E104" s="13">
        <v>420</v>
      </c>
      <c r="F104" s="13">
        <v>420</v>
      </c>
    </row>
    <row r="105" spans="1:6" x14ac:dyDescent="0.25">
      <c r="A105" s="54" t="s">
        <v>222</v>
      </c>
      <c r="B105" s="52" t="s">
        <v>223</v>
      </c>
      <c r="C105" s="13">
        <v>944</v>
      </c>
      <c r="D105" s="13">
        <v>1300</v>
      </c>
      <c r="E105" s="13">
        <v>1300</v>
      </c>
      <c r="F105" s="13">
        <v>1300</v>
      </c>
    </row>
    <row r="106" spans="1:6" x14ac:dyDescent="0.25">
      <c r="A106" s="54" t="s">
        <v>224</v>
      </c>
      <c r="B106" s="52" t="s">
        <v>225</v>
      </c>
      <c r="C106" s="13">
        <v>180174.516</v>
      </c>
      <c r="D106" s="13">
        <v>179000</v>
      </c>
      <c r="E106" s="13">
        <v>181000</v>
      </c>
      <c r="F106" s="13">
        <v>182300</v>
      </c>
    </row>
    <row r="107" spans="1:6" x14ac:dyDescent="0.25">
      <c r="A107" s="54" t="s">
        <v>226</v>
      </c>
      <c r="B107" s="52" t="s">
        <v>227</v>
      </c>
      <c r="C107" s="13">
        <v>50686.955000000002</v>
      </c>
      <c r="D107" s="13">
        <v>45000</v>
      </c>
      <c r="E107" s="13">
        <v>46300</v>
      </c>
      <c r="F107" s="13">
        <v>47300</v>
      </c>
    </row>
    <row r="108" spans="1:6" x14ac:dyDescent="0.25">
      <c r="A108" s="54" t="s">
        <v>228</v>
      </c>
      <c r="B108" s="52" t="s">
        <v>229</v>
      </c>
      <c r="C108" s="13">
        <v>0</v>
      </c>
      <c r="D108" s="13">
        <v>0</v>
      </c>
      <c r="E108" s="13">
        <v>0</v>
      </c>
      <c r="F108" s="13">
        <v>0</v>
      </c>
    </row>
    <row r="109" spans="1:6" x14ac:dyDescent="0.25">
      <c r="A109" s="54" t="s">
        <v>230</v>
      </c>
      <c r="B109" s="52" t="s">
        <v>231</v>
      </c>
      <c r="C109" s="13">
        <v>1</v>
      </c>
      <c r="D109" s="13">
        <v>0</v>
      </c>
      <c r="E109" s="13">
        <v>0</v>
      </c>
      <c r="F109" s="13">
        <v>0</v>
      </c>
    </row>
    <row r="110" spans="1:6" x14ac:dyDescent="0.25">
      <c r="A110" s="54" t="s">
        <v>232</v>
      </c>
      <c r="B110" s="52" t="s">
        <v>233</v>
      </c>
      <c r="C110" s="13">
        <v>10</v>
      </c>
      <c r="D110" s="13">
        <v>0</v>
      </c>
      <c r="E110" s="13">
        <v>0</v>
      </c>
      <c r="F110" s="13">
        <v>0</v>
      </c>
    </row>
    <row r="111" spans="1:6" x14ac:dyDescent="0.25">
      <c r="A111" s="54" t="s">
        <v>234</v>
      </c>
      <c r="B111" s="52" t="s">
        <v>235</v>
      </c>
      <c r="C111" s="13">
        <v>0</v>
      </c>
      <c r="D111" s="13">
        <v>0</v>
      </c>
      <c r="E111" s="13">
        <v>0</v>
      </c>
      <c r="F111" s="13">
        <v>0</v>
      </c>
    </row>
    <row r="112" spans="1:6" x14ac:dyDescent="0.25">
      <c r="A112" s="54" t="s">
        <v>236</v>
      </c>
      <c r="B112" s="52" t="s">
        <v>237</v>
      </c>
      <c r="C112" s="13">
        <v>0</v>
      </c>
      <c r="D112" s="13">
        <v>0</v>
      </c>
      <c r="E112" s="13">
        <v>0</v>
      </c>
      <c r="F112" s="13">
        <v>0</v>
      </c>
    </row>
    <row r="113" spans="1:6" x14ac:dyDescent="0.25">
      <c r="A113" s="45" t="s">
        <v>238</v>
      </c>
      <c r="B113" s="53" t="s">
        <v>239</v>
      </c>
      <c r="C113" s="14">
        <v>521254.73100000003</v>
      </c>
      <c r="D113" s="14">
        <v>461700</v>
      </c>
      <c r="E113" s="14">
        <v>454020</v>
      </c>
      <c r="F113" s="14">
        <v>458320</v>
      </c>
    </row>
    <row r="114" spans="1:6" x14ac:dyDescent="0.25">
      <c r="A114" s="54" t="s">
        <v>240</v>
      </c>
      <c r="B114" s="52" t="s">
        <v>241</v>
      </c>
      <c r="C114" s="13">
        <v>0</v>
      </c>
      <c r="D114" s="13">
        <v>0</v>
      </c>
      <c r="E114" s="13">
        <v>0</v>
      </c>
      <c r="F114" s="13">
        <v>0</v>
      </c>
    </row>
    <row r="115" spans="1:6" x14ac:dyDescent="0.25">
      <c r="A115" s="54" t="s">
        <v>242</v>
      </c>
      <c r="B115" s="52" t="s">
        <v>243</v>
      </c>
      <c r="C115" s="13">
        <v>64000</v>
      </c>
      <c r="D115" s="13">
        <v>36000</v>
      </c>
      <c r="E115" s="13">
        <v>31000</v>
      </c>
      <c r="F115" s="13">
        <v>26000</v>
      </c>
    </row>
    <row r="116" spans="1:6" x14ac:dyDescent="0.25">
      <c r="A116" s="54" t="s">
        <v>244</v>
      </c>
      <c r="B116" s="52" t="s">
        <v>245</v>
      </c>
      <c r="C116" s="13">
        <v>1700</v>
      </c>
      <c r="D116" s="13">
        <v>0</v>
      </c>
      <c r="E116" s="13">
        <v>0</v>
      </c>
      <c r="F116" s="13">
        <v>0</v>
      </c>
    </row>
    <row r="117" spans="1:6" x14ac:dyDescent="0.25">
      <c r="A117" s="54" t="s">
        <v>246</v>
      </c>
      <c r="B117" s="52" t="s">
        <v>247</v>
      </c>
      <c r="C117" s="13">
        <v>0</v>
      </c>
      <c r="D117" s="13">
        <v>0</v>
      </c>
      <c r="E117" s="13">
        <v>0</v>
      </c>
      <c r="F117" s="13">
        <v>0</v>
      </c>
    </row>
    <row r="118" spans="1:6" hidden="1" x14ac:dyDescent="0.25">
      <c r="A118" s="54" t="s">
        <v>248</v>
      </c>
      <c r="B118" s="52" t="s">
        <v>249</v>
      </c>
      <c r="C118" s="13">
        <v>0</v>
      </c>
      <c r="D118" s="13">
        <v>0</v>
      </c>
      <c r="E118" s="13">
        <v>0</v>
      </c>
      <c r="F118" s="13">
        <v>0</v>
      </c>
    </row>
    <row r="119" spans="1:6" x14ac:dyDescent="0.25">
      <c r="A119" s="44" t="s">
        <v>250</v>
      </c>
      <c r="B119" s="53" t="s">
        <v>251</v>
      </c>
      <c r="C119" s="14">
        <v>65700</v>
      </c>
      <c r="D119" s="14">
        <v>36000</v>
      </c>
      <c r="E119" s="14">
        <v>31000</v>
      </c>
      <c r="F119" s="14">
        <v>26000</v>
      </c>
    </row>
    <row r="120" spans="1:6" x14ac:dyDescent="0.25">
      <c r="A120" s="44" t="s">
        <v>252</v>
      </c>
      <c r="B120" s="53" t="s">
        <v>253</v>
      </c>
      <c r="C120" s="13">
        <v>5434.5</v>
      </c>
      <c r="D120" s="13">
        <v>0</v>
      </c>
      <c r="E120" s="13">
        <v>0</v>
      </c>
      <c r="F120" s="13">
        <v>0</v>
      </c>
    </row>
    <row r="121" spans="1:6" x14ac:dyDescent="0.25">
      <c r="A121" s="54" t="s">
        <v>578</v>
      </c>
      <c r="B121" s="52" t="s">
        <v>255</v>
      </c>
      <c r="C121" s="13">
        <v>0</v>
      </c>
      <c r="D121" s="13">
        <v>0</v>
      </c>
      <c r="E121" s="13">
        <v>0</v>
      </c>
      <c r="F121" s="13">
        <v>0</v>
      </c>
    </row>
    <row r="122" spans="1:6" x14ac:dyDescent="0.25">
      <c r="A122" s="41" t="s">
        <v>256</v>
      </c>
      <c r="B122" s="52" t="s">
        <v>257</v>
      </c>
      <c r="C122" s="13">
        <v>0</v>
      </c>
      <c r="D122" s="13">
        <v>0</v>
      </c>
      <c r="E122" s="13">
        <v>0</v>
      </c>
      <c r="F122" s="13">
        <v>0</v>
      </c>
    </row>
    <row r="123" spans="1:6" ht="31.5" x14ac:dyDescent="0.25">
      <c r="A123" s="54" t="s">
        <v>258</v>
      </c>
      <c r="B123" s="52" t="s">
        <v>259</v>
      </c>
      <c r="C123" s="13">
        <v>0</v>
      </c>
      <c r="D123" s="13">
        <v>0</v>
      </c>
      <c r="E123" s="13">
        <v>0</v>
      </c>
      <c r="F123" s="13">
        <v>0</v>
      </c>
    </row>
    <row r="124" spans="1:6" x14ac:dyDescent="0.25">
      <c r="A124" s="54" t="s">
        <v>580</v>
      </c>
      <c r="B124" s="52" t="s">
        <v>261</v>
      </c>
      <c r="C124" s="13">
        <v>0</v>
      </c>
      <c r="D124" s="13">
        <v>0</v>
      </c>
      <c r="E124" s="13">
        <v>0</v>
      </c>
      <c r="F124" s="13">
        <v>0</v>
      </c>
    </row>
    <row r="125" spans="1:6" x14ac:dyDescent="0.25">
      <c r="A125" s="54" t="s">
        <v>262</v>
      </c>
      <c r="B125" s="52" t="s">
        <v>263</v>
      </c>
      <c r="C125" s="13">
        <v>29400</v>
      </c>
      <c r="D125" s="13">
        <v>25400</v>
      </c>
      <c r="E125" s="13">
        <v>25400</v>
      </c>
      <c r="F125" s="13">
        <v>25400</v>
      </c>
    </row>
    <row r="126" spans="1:6" x14ac:dyDescent="0.25">
      <c r="A126" s="44" t="s">
        <v>264</v>
      </c>
      <c r="B126" s="53" t="s">
        <v>265</v>
      </c>
      <c r="C126" s="14">
        <v>29400</v>
      </c>
      <c r="D126" s="14">
        <v>25400</v>
      </c>
      <c r="E126" s="14">
        <v>25400</v>
      </c>
      <c r="F126" s="14">
        <v>25400</v>
      </c>
    </row>
    <row r="127" spans="1:6" x14ac:dyDescent="0.25">
      <c r="A127" s="66" t="s">
        <v>266</v>
      </c>
      <c r="B127" s="55" t="s">
        <v>267</v>
      </c>
      <c r="C127" s="57">
        <v>4484639.0350000001</v>
      </c>
      <c r="D127" s="57">
        <v>3288379</v>
      </c>
      <c r="E127" s="57">
        <v>3166016</v>
      </c>
      <c r="F127" s="57">
        <v>3236122</v>
      </c>
    </row>
    <row r="128" spans="1:6" x14ac:dyDescent="0.25">
      <c r="A128" s="67" t="s">
        <v>268</v>
      </c>
      <c r="B128" s="68"/>
      <c r="C128" s="69">
        <v>-316444.29799999995</v>
      </c>
      <c r="D128" s="69">
        <v>-720906.75600000005</v>
      </c>
      <c r="E128" s="69">
        <v>-770607</v>
      </c>
      <c r="F128" s="69">
        <v>-854926</v>
      </c>
    </row>
    <row r="129" spans="1:6" x14ac:dyDescent="0.25">
      <c r="A129" s="67" t="s">
        <v>269</v>
      </c>
      <c r="B129" s="68"/>
      <c r="C129" s="69">
        <v>-1211739.4009999998</v>
      </c>
      <c r="D129" s="69">
        <v>147106</v>
      </c>
      <c r="E129" s="69">
        <v>411128</v>
      </c>
      <c r="F129" s="69">
        <v>659167</v>
      </c>
    </row>
    <row r="130" spans="1:6" x14ac:dyDescent="0.25">
      <c r="A130" s="59" t="s">
        <v>270</v>
      </c>
      <c r="B130" s="41" t="s">
        <v>271</v>
      </c>
      <c r="C130" s="13">
        <v>0</v>
      </c>
      <c r="D130" s="13">
        <v>0</v>
      </c>
      <c r="E130" s="13">
        <v>0</v>
      </c>
      <c r="F130" s="13">
        <v>0</v>
      </c>
    </row>
    <row r="131" spans="1:6" x14ac:dyDescent="0.25">
      <c r="A131" s="54" t="s">
        <v>272</v>
      </c>
      <c r="B131" s="41" t="s">
        <v>273</v>
      </c>
      <c r="C131" s="13">
        <v>0</v>
      </c>
      <c r="D131" s="13">
        <v>0</v>
      </c>
      <c r="E131" s="13">
        <v>0</v>
      </c>
      <c r="F131" s="13">
        <v>0</v>
      </c>
    </row>
    <row r="132" spans="1:6" x14ac:dyDescent="0.25">
      <c r="A132" s="59" t="s">
        <v>274</v>
      </c>
      <c r="B132" s="41" t="s">
        <v>275</v>
      </c>
      <c r="C132" s="13">
        <v>88500</v>
      </c>
      <c r="D132" s="13">
        <v>88500</v>
      </c>
      <c r="E132" s="13">
        <v>88500</v>
      </c>
      <c r="F132" s="13">
        <v>88500</v>
      </c>
    </row>
    <row r="133" spans="1:6" x14ac:dyDescent="0.25">
      <c r="A133" s="45" t="s">
        <v>276</v>
      </c>
      <c r="B133" s="44" t="s">
        <v>277</v>
      </c>
      <c r="C133" s="14">
        <v>88500</v>
      </c>
      <c r="D133" s="14">
        <v>88500</v>
      </c>
      <c r="E133" s="14">
        <v>88500</v>
      </c>
      <c r="F133" s="14">
        <v>88500</v>
      </c>
    </row>
    <row r="134" spans="1:6" hidden="1" x14ac:dyDescent="0.25">
      <c r="A134" s="54" t="s">
        <v>278</v>
      </c>
      <c r="B134" s="41" t="s">
        <v>279</v>
      </c>
      <c r="C134" s="13">
        <v>0</v>
      </c>
      <c r="D134" s="13">
        <v>0</v>
      </c>
      <c r="E134" s="13">
        <v>0</v>
      </c>
      <c r="F134" s="13">
        <v>0</v>
      </c>
    </row>
    <row r="135" spans="1:6" hidden="1" x14ac:dyDescent="0.25">
      <c r="A135" s="59" t="s">
        <v>280</v>
      </c>
      <c r="B135" s="41" t="s">
        <v>281</v>
      </c>
      <c r="C135" s="13">
        <v>0</v>
      </c>
      <c r="D135" s="13">
        <v>0</v>
      </c>
      <c r="E135" s="13">
        <v>0</v>
      </c>
      <c r="F135" s="13">
        <v>0</v>
      </c>
    </row>
    <row r="136" spans="1:6" hidden="1" x14ac:dyDescent="0.25">
      <c r="A136" s="54" t="s">
        <v>282</v>
      </c>
      <c r="B136" s="41" t="s">
        <v>283</v>
      </c>
      <c r="C136" s="13">
        <v>0</v>
      </c>
      <c r="D136" s="13">
        <v>0</v>
      </c>
      <c r="E136" s="13">
        <v>0</v>
      </c>
      <c r="F136" s="13">
        <v>0</v>
      </c>
    </row>
    <row r="137" spans="1:6" hidden="1" x14ac:dyDescent="0.25">
      <c r="A137" s="59" t="s">
        <v>284</v>
      </c>
      <c r="B137" s="41" t="s">
        <v>285</v>
      </c>
      <c r="C137" s="13">
        <v>0</v>
      </c>
      <c r="D137" s="13">
        <v>0</v>
      </c>
      <c r="E137" s="13">
        <v>0</v>
      </c>
      <c r="F137" s="13">
        <v>0</v>
      </c>
    </row>
    <row r="138" spans="1:6" x14ac:dyDescent="0.25">
      <c r="A138" s="61" t="s">
        <v>286</v>
      </c>
      <c r="B138" s="44" t="s">
        <v>287</v>
      </c>
      <c r="C138" s="14">
        <v>0</v>
      </c>
      <c r="D138" s="14">
        <v>0</v>
      </c>
      <c r="E138" s="14">
        <v>0</v>
      </c>
      <c r="F138" s="14">
        <v>0</v>
      </c>
    </row>
    <row r="139" spans="1:6" x14ac:dyDescent="0.25">
      <c r="A139" s="41" t="s">
        <v>288</v>
      </c>
      <c r="B139" s="41" t="s">
        <v>289</v>
      </c>
      <c r="C139" s="13">
        <v>304795.61499999999</v>
      </c>
      <c r="D139" s="13">
        <v>184718</v>
      </c>
      <c r="E139" s="13">
        <v>92359</v>
      </c>
      <c r="F139" s="13">
        <v>64651.299999999996</v>
      </c>
    </row>
    <row r="140" spans="1:6" x14ac:dyDescent="0.25">
      <c r="A140" s="41" t="s">
        <v>290</v>
      </c>
      <c r="B140" s="41" t="s">
        <v>289</v>
      </c>
      <c r="C140" s="13">
        <v>1264237.2039999999</v>
      </c>
      <c r="D140" s="13">
        <v>389083</v>
      </c>
      <c r="E140" s="13">
        <v>267120</v>
      </c>
      <c r="F140" s="13">
        <v>131108</v>
      </c>
    </row>
    <row r="141" spans="1:6" x14ac:dyDescent="0.25">
      <c r="A141" s="41" t="s">
        <v>291</v>
      </c>
      <c r="B141" s="41" t="s">
        <v>292</v>
      </c>
      <c r="C141" s="13">
        <v>0</v>
      </c>
      <c r="D141" s="13">
        <v>0</v>
      </c>
      <c r="E141" s="13">
        <v>0</v>
      </c>
      <c r="F141" s="13">
        <v>0</v>
      </c>
    </row>
    <row r="142" spans="1:6" x14ac:dyDescent="0.25">
      <c r="A142" s="41" t="s">
        <v>293</v>
      </c>
      <c r="B142" s="41" t="s">
        <v>292</v>
      </c>
      <c r="C142" s="13">
        <v>0</v>
      </c>
      <c r="D142" s="13">
        <v>0</v>
      </c>
      <c r="E142" s="13">
        <v>0</v>
      </c>
      <c r="F142" s="13">
        <v>0</v>
      </c>
    </row>
    <row r="143" spans="1:6" x14ac:dyDescent="0.25">
      <c r="A143" s="44" t="s">
        <v>294</v>
      </c>
      <c r="B143" s="44" t="s">
        <v>295</v>
      </c>
      <c r="C143" s="14">
        <v>1569032.8189999999</v>
      </c>
      <c r="D143" s="14">
        <v>573801</v>
      </c>
      <c r="E143" s="14">
        <v>359479</v>
      </c>
      <c r="F143" s="14">
        <v>195759.3</v>
      </c>
    </row>
    <row r="144" spans="1:6" x14ac:dyDescent="0.25">
      <c r="A144" s="59" t="s">
        <v>296</v>
      </c>
      <c r="B144" s="41" t="s">
        <v>297</v>
      </c>
      <c r="C144" s="13">
        <v>0</v>
      </c>
      <c r="D144" s="13">
        <v>0</v>
      </c>
      <c r="E144" s="13">
        <v>0</v>
      </c>
      <c r="F144" s="13">
        <v>0</v>
      </c>
    </row>
    <row r="145" spans="1:6" x14ac:dyDescent="0.25">
      <c r="A145" s="59" t="s">
        <v>298</v>
      </c>
      <c r="B145" s="41" t="s">
        <v>299</v>
      </c>
      <c r="C145" s="13">
        <v>0</v>
      </c>
      <c r="D145" s="13">
        <v>0</v>
      </c>
      <c r="E145" s="13">
        <v>0</v>
      </c>
      <c r="F145" s="13">
        <v>0</v>
      </c>
    </row>
    <row r="146" spans="1:6" hidden="1" x14ac:dyDescent="0.25">
      <c r="A146" s="59" t="s">
        <v>300</v>
      </c>
      <c r="B146" s="41" t="s">
        <v>301</v>
      </c>
      <c r="C146" s="13">
        <v>0</v>
      </c>
      <c r="D146" s="13">
        <v>0</v>
      </c>
      <c r="E146" s="13">
        <v>0</v>
      </c>
      <c r="F146" s="13">
        <v>0</v>
      </c>
    </row>
    <row r="147" spans="1:6" hidden="1" x14ac:dyDescent="0.25">
      <c r="A147" s="59" t="s">
        <v>302</v>
      </c>
      <c r="B147" s="41" t="s">
        <v>303</v>
      </c>
      <c r="C147" s="13">
        <v>0</v>
      </c>
      <c r="D147" s="13">
        <v>0</v>
      </c>
      <c r="E147" s="13">
        <v>0</v>
      </c>
      <c r="F147" s="13">
        <v>0</v>
      </c>
    </row>
    <row r="148" spans="1:6" hidden="1" x14ac:dyDescent="0.25">
      <c r="A148" s="54" t="s">
        <v>304</v>
      </c>
      <c r="B148" s="41" t="s">
        <v>305</v>
      </c>
      <c r="C148" s="13">
        <v>0</v>
      </c>
      <c r="D148" s="13">
        <v>0</v>
      </c>
      <c r="E148" s="13">
        <v>0</v>
      </c>
      <c r="F148" s="13">
        <v>0</v>
      </c>
    </row>
    <row r="149" spans="1:6" hidden="1" x14ac:dyDescent="0.25">
      <c r="A149" s="54" t="s">
        <v>306</v>
      </c>
      <c r="B149" s="41" t="s">
        <v>307</v>
      </c>
      <c r="C149" s="13">
        <v>0</v>
      </c>
      <c r="D149" s="13">
        <v>0</v>
      </c>
      <c r="E149" s="13">
        <v>0</v>
      </c>
      <c r="F149" s="13">
        <v>0</v>
      </c>
    </row>
    <row r="150" spans="1:6" x14ac:dyDescent="0.25">
      <c r="A150" s="45" t="s">
        <v>308</v>
      </c>
      <c r="B150" s="44" t="s">
        <v>309</v>
      </c>
      <c r="C150" s="14">
        <v>1657532.8189999999</v>
      </c>
      <c r="D150" s="14">
        <v>662301</v>
      </c>
      <c r="E150" s="14">
        <v>447979</v>
      </c>
      <c r="F150" s="14">
        <v>284259.3</v>
      </c>
    </row>
    <row r="151" spans="1:6" s="77" customFormat="1" hidden="1" x14ac:dyDescent="0.25">
      <c r="A151" s="59" t="s">
        <v>310</v>
      </c>
      <c r="B151" s="41" t="s">
        <v>311</v>
      </c>
      <c r="C151" s="13">
        <v>0</v>
      </c>
      <c r="D151" s="13">
        <v>0</v>
      </c>
      <c r="E151" s="13">
        <v>0</v>
      </c>
      <c r="F151" s="13">
        <v>0</v>
      </c>
    </row>
    <row r="152" spans="1:6" hidden="1" x14ac:dyDescent="0.25">
      <c r="A152" s="54" t="s">
        <v>312</v>
      </c>
      <c r="B152" s="41" t="s">
        <v>313</v>
      </c>
      <c r="C152" s="13">
        <v>0</v>
      </c>
      <c r="D152" s="13">
        <v>0</v>
      </c>
      <c r="E152" s="13">
        <v>0</v>
      </c>
      <c r="F152" s="13">
        <v>0</v>
      </c>
    </row>
    <row r="153" spans="1:6" hidden="1" x14ac:dyDescent="0.25">
      <c r="A153" s="54" t="s">
        <v>314</v>
      </c>
      <c r="B153" s="41" t="s">
        <v>315</v>
      </c>
      <c r="C153" s="13">
        <v>0</v>
      </c>
      <c r="D153" s="13">
        <v>0</v>
      </c>
      <c r="E153" s="13">
        <v>0</v>
      </c>
      <c r="F153" s="13">
        <v>0</v>
      </c>
    </row>
    <row r="154" spans="1:6" x14ac:dyDescent="0.25">
      <c r="A154" s="62" t="s">
        <v>316</v>
      </c>
      <c r="B154" s="63" t="s">
        <v>317</v>
      </c>
      <c r="C154" s="57">
        <v>1657532.8189999999</v>
      </c>
      <c r="D154" s="57">
        <v>662301</v>
      </c>
      <c r="E154" s="57">
        <v>447979</v>
      </c>
      <c r="F154" s="57">
        <v>284259.3</v>
      </c>
    </row>
    <row r="155" spans="1:6" x14ac:dyDescent="0.25">
      <c r="A155" s="17" t="s">
        <v>318</v>
      </c>
      <c r="B155" s="17" t="s">
        <v>319</v>
      </c>
      <c r="C155" s="18">
        <v>6142171.8540000003</v>
      </c>
      <c r="D155" s="18">
        <v>3950680</v>
      </c>
      <c r="E155" s="18">
        <v>3613995</v>
      </c>
      <c r="F155" s="18">
        <v>3520381.3</v>
      </c>
    </row>
    <row r="156" spans="1:6" x14ac:dyDescent="0.25">
      <c r="C156" s="576">
        <f>+C155-C77</f>
        <v>0</v>
      </c>
      <c r="D156" s="576">
        <f>+D155-D77</f>
        <v>0.24399999994784594</v>
      </c>
      <c r="E156" s="576">
        <f>+E155-E77</f>
        <v>0</v>
      </c>
      <c r="F156" s="576">
        <f>+F155-F77</f>
        <v>0.29999999981373549</v>
      </c>
    </row>
    <row r="157" spans="1:6" x14ac:dyDescent="0.25">
      <c r="C157" s="569"/>
    </row>
    <row r="158" spans="1:6" x14ac:dyDescent="0.25">
      <c r="C158" s="569"/>
    </row>
    <row r="159" spans="1:6" x14ac:dyDescent="0.25">
      <c r="C159" s="569"/>
    </row>
    <row r="160" spans="1:6" x14ac:dyDescent="0.25">
      <c r="C160" s="569"/>
    </row>
    <row r="161" spans="3:3" x14ac:dyDescent="0.25">
      <c r="C161" s="569"/>
    </row>
    <row r="162" spans="3:3" x14ac:dyDescent="0.25">
      <c r="C162" s="569"/>
    </row>
    <row r="163" spans="3:3" x14ac:dyDescent="0.25">
      <c r="C163" s="569"/>
    </row>
    <row r="164" spans="3:3" x14ac:dyDescent="0.25">
      <c r="C164" s="569"/>
    </row>
    <row r="165" spans="3:3" x14ac:dyDescent="0.25">
      <c r="C165" s="569"/>
    </row>
    <row r="166" spans="3:3" x14ac:dyDescent="0.25">
      <c r="C166" s="569"/>
    </row>
    <row r="167" spans="3:3" x14ac:dyDescent="0.25">
      <c r="C167" s="569"/>
    </row>
    <row r="168" spans="3:3" x14ac:dyDescent="0.25">
      <c r="C168" s="569"/>
    </row>
    <row r="169" spans="3:3" x14ac:dyDescent="0.25">
      <c r="C169" s="569"/>
    </row>
    <row r="170" spans="3:3" x14ac:dyDescent="0.25">
      <c r="C170" s="569"/>
    </row>
    <row r="171" spans="3:3" x14ac:dyDescent="0.25">
      <c r="C171" s="569"/>
    </row>
    <row r="172" spans="3:3" x14ac:dyDescent="0.25">
      <c r="C172" s="569"/>
    </row>
    <row r="173" spans="3:3" x14ac:dyDescent="0.25">
      <c r="C173" s="569"/>
    </row>
    <row r="174" spans="3:3" x14ac:dyDescent="0.25">
      <c r="C174" s="569"/>
    </row>
    <row r="175" spans="3:3" x14ac:dyDescent="0.25">
      <c r="C175" s="569"/>
    </row>
    <row r="176" spans="3:3" x14ac:dyDescent="0.25">
      <c r="C176" s="569"/>
    </row>
    <row r="177" spans="3:3" x14ac:dyDescent="0.25">
      <c r="C177" s="569"/>
    </row>
    <row r="178" spans="3:3" x14ac:dyDescent="0.25">
      <c r="C178" s="569"/>
    </row>
    <row r="179" spans="3:3" x14ac:dyDescent="0.25">
      <c r="C179" s="569"/>
    </row>
    <row r="180" spans="3:3" x14ac:dyDescent="0.25">
      <c r="C180" s="569"/>
    </row>
    <row r="181" spans="3:3" x14ac:dyDescent="0.25">
      <c r="C181" s="569"/>
    </row>
    <row r="182" spans="3:3" x14ac:dyDescent="0.25">
      <c r="C182" s="569"/>
    </row>
    <row r="183" spans="3:3" x14ac:dyDescent="0.25">
      <c r="C183" s="569"/>
    </row>
    <row r="184" spans="3:3" x14ac:dyDescent="0.25">
      <c r="C184" s="569"/>
    </row>
    <row r="185" spans="3:3" x14ac:dyDescent="0.25">
      <c r="C185" s="569"/>
    </row>
    <row r="186" spans="3:3" x14ac:dyDescent="0.25">
      <c r="C186" s="569"/>
    </row>
    <row r="187" spans="3:3" x14ac:dyDescent="0.25">
      <c r="C187" s="569"/>
    </row>
    <row r="188" spans="3:3" x14ac:dyDescent="0.25">
      <c r="C188" s="569"/>
    </row>
    <row r="189" spans="3:3" x14ac:dyDescent="0.25">
      <c r="C189" s="569"/>
    </row>
    <row r="190" spans="3:3" x14ac:dyDescent="0.25">
      <c r="C190" s="569"/>
    </row>
    <row r="191" spans="3:3" x14ac:dyDescent="0.25">
      <c r="C191" s="569"/>
    </row>
    <row r="192" spans="3:3" x14ac:dyDescent="0.25">
      <c r="C192" s="569"/>
    </row>
    <row r="193" spans="3:3" x14ac:dyDescent="0.25">
      <c r="C193" s="569"/>
    </row>
    <row r="194" spans="3:3" x14ac:dyDescent="0.25">
      <c r="C194" s="569"/>
    </row>
    <row r="195" spans="3:3" x14ac:dyDescent="0.25">
      <c r="C195" s="569"/>
    </row>
    <row r="196" spans="3:3" x14ac:dyDescent="0.25">
      <c r="C196" s="569"/>
    </row>
    <row r="197" spans="3:3" x14ac:dyDescent="0.25">
      <c r="C197" s="569"/>
    </row>
    <row r="198" spans="3:3" x14ac:dyDescent="0.25">
      <c r="C198" s="569"/>
    </row>
    <row r="199" spans="3:3" x14ac:dyDescent="0.25">
      <c r="C199" s="569"/>
    </row>
    <row r="200" spans="3:3" x14ac:dyDescent="0.25">
      <c r="C200" s="569"/>
    </row>
    <row r="201" spans="3:3" x14ac:dyDescent="0.25">
      <c r="C201" s="569"/>
    </row>
    <row r="202" spans="3:3" x14ac:dyDescent="0.25">
      <c r="C202" s="569"/>
    </row>
    <row r="203" spans="3:3" x14ac:dyDescent="0.25">
      <c r="C203" s="569"/>
    </row>
    <row r="204" spans="3:3" x14ac:dyDescent="0.25">
      <c r="C204" s="569"/>
    </row>
    <row r="205" spans="3:3" x14ac:dyDescent="0.25">
      <c r="C205" s="569"/>
    </row>
    <row r="206" spans="3:3" x14ac:dyDescent="0.25">
      <c r="C206" s="569"/>
    </row>
    <row r="207" spans="3:3" x14ac:dyDescent="0.25">
      <c r="C207" s="569"/>
    </row>
    <row r="208" spans="3:3" x14ac:dyDescent="0.25">
      <c r="C208" s="569"/>
    </row>
    <row r="209" spans="3:3" x14ac:dyDescent="0.25">
      <c r="C209" s="569"/>
    </row>
    <row r="210" spans="3:3" x14ac:dyDescent="0.25">
      <c r="C210" s="569"/>
    </row>
    <row r="211" spans="3:3" x14ac:dyDescent="0.25">
      <c r="C211" s="569"/>
    </row>
    <row r="212" spans="3:3" x14ac:dyDescent="0.25">
      <c r="C212" s="569"/>
    </row>
    <row r="213" spans="3:3" x14ac:dyDescent="0.25">
      <c r="C213" s="569"/>
    </row>
    <row r="214" spans="3:3" x14ac:dyDescent="0.25">
      <c r="C214" s="569"/>
    </row>
    <row r="215" spans="3:3" x14ac:dyDescent="0.25">
      <c r="C215" s="569"/>
    </row>
    <row r="216" spans="3:3" x14ac:dyDescent="0.25">
      <c r="C216" s="569"/>
    </row>
    <row r="217" spans="3:3" x14ac:dyDescent="0.25">
      <c r="C217" s="569"/>
    </row>
    <row r="218" spans="3:3" x14ac:dyDescent="0.25">
      <c r="C218" s="569"/>
    </row>
    <row r="219" spans="3:3" x14ac:dyDescent="0.25">
      <c r="C219" s="569"/>
    </row>
    <row r="220" spans="3:3" x14ac:dyDescent="0.25">
      <c r="C220" s="569"/>
    </row>
    <row r="221" spans="3:3" x14ac:dyDescent="0.25">
      <c r="C221" s="569"/>
    </row>
    <row r="222" spans="3:3" x14ac:dyDescent="0.25">
      <c r="C222" s="569"/>
    </row>
    <row r="223" spans="3:3" x14ac:dyDescent="0.25">
      <c r="C223" s="569"/>
    </row>
    <row r="224" spans="3:3" x14ac:dyDescent="0.25">
      <c r="C224" s="569"/>
    </row>
    <row r="225" spans="3:3" x14ac:dyDescent="0.25">
      <c r="C225" s="569"/>
    </row>
    <row r="226" spans="3:3" x14ac:dyDescent="0.25">
      <c r="C226" s="569"/>
    </row>
    <row r="227" spans="3:3" x14ac:dyDescent="0.25">
      <c r="C227" s="569"/>
    </row>
    <row r="228" spans="3:3" x14ac:dyDescent="0.25">
      <c r="C228" s="569"/>
    </row>
    <row r="229" spans="3:3" x14ac:dyDescent="0.25">
      <c r="C229" s="569"/>
    </row>
    <row r="230" spans="3:3" x14ac:dyDescent="0.25">
      <c r="C230" s="569"/>
    </row>
    <row r="231" spans="3:3" x14ac:dyDescent="0.25">
      <c r="C231" s="569"/>
    </row>
    <row r="232" spans="3:3" x14ac:dyDescent="0.25">
      <c r="C232" s="569"/>
    </row>
    <row r="233" spans="3:3" x14ac:dyDescent="0.25">
      <c r="C233" s="569"/>
    </row>
    <row r="234" spans="3:3" x14ac:dyDescent="0.25">
      <c r="C234" s="569"/>
    </row>
    <row r="235" spans="3:3" x14ac:dyDescent="0.25">
      <c r="C235" s="569"/>
    </row>
    <row r="236" spans="3:3" x14ac:dyDescent="0.25">
      <c r="C236" s="569"/>
    </row>
    <row r="237" spans="3:3" x14ac:dyDescent="0.25">
      <c r="C237" s="569"/>
    </row>
    <row r="238" spans="3:3" x14ac:dyDescent="0.25">
      <c r="C238" s="569"/>
    </row>
    <row r="239" spans="3:3" x14ac:dyDescent="0.25">
      <c r="C239" s="569"/>
    </row>
    <row r="240" spans="3:3" x14ac:dyDescent="0.25">
      <c r="C240" s="569"/>
    </row>
    <row r="241" spans="3:3" x14ac:dyDescent="0.25">
      <c r="C241" s="569"/>
    </row>
    <row r="242" spans="3:3" x14ac:dyDescent="0.25">
      <c r="C242" s="569"/>
    </row>
    <row r="243" spans="3:3" x14ac:dyDescent="0.25">
      <c r="C243" s="569"/>
    </row>
    <row r="244" spans="3:3" x14ac:dyDescent="0.25">
      <c r="C244" s="569"/>
    </row>
    <row r="245" spans="3:3" x14ac:dyDescent="0.25">
      <c r="C245" s="569"/>
    </row>
    <row r="246" spans="3:3" x14ac:dyDescent="0.25">
      <c r="C246" s="569"/>
    </row>
    <row r="247" spans="3:3" x14ac:dyDescent="0.25">
      <c r="C247" s="569"/>
    </row>
    <row r="248" spans="3:3" x14ac:dyDescent="0.25">
      <c r="C248" s="569"/>
    </row>
    <row r="249" spans="3:3" x14ac:dyDescent="0.25">
      <c r="C249" s="569"/>
    </row>
    <row r="250" spans="3:3" x14ac:dyDescent="0.25">
      <c r="C250" s="569"/>
    </row>
    <row r="251" spans="3:3" x14ac:dyDescent="0.25">
      <c r="C251" s="569"/>
    </row>
    <row r="252" spans="3:3" x14ac:dyDescent="0.25">
      <c r="C252" s="569"/>
    </row>
    <row r="253" spans="3:3" x14ac:dyDescent="0.25">
      <c r="C253" s="569"/>
    </row>
    <row r="254" spans="3:3" x14ac:dyDescent="0.25">
      <c r="C254" s="569"/>
    </row>
    <row r="255" spans="3:3" x14ac:dyDescent="0.25">
      <c r="C255" s="569"/>
    </row>
    <row r="256" spans="3:3" x14ac:dyDescent="0.25">
      <c r="C256" s="569"/>
    </row>
    <row r="257" spans="3:3" x14ac:dyDescent="0.25">
      <c r="C257" s="569"/>
    </row>
    <row r="258" spans="3:3" x14ac:dyDescent="0.25">
      <c r="C258" s="569"/>
    </row>
    <row r="259" spans="3:3" x14ac:dyDescent="0.25">
      <c r="C259" s="569"/>
    </row>
    <row r="260" spans="3:3" x14ac:dyDescent="0.25">
      <c r="C260" s="569"/>
    </row>
    <row r="261" spans="3:3" x14ac:dyDescent="0.25">
      <c r="C261" s="569"/>
    </row>
    <row r="262" spans="3:3" x14ac:dyDescent="0.25">
      <c r="C262" s="569"/>
    </row>
    <row r="263" spans="3:3" x14ac:dyDescent="0.25">
      <c r="C263" s="569"/>
    </row>
  </sheetData>
  <sheetProtection selectLockedCells="1" selectUnlockedCells="1"/>
  <mergeCells count="3">
    <mergeCell ref="A5:F5"/>
    <mergeCell ref="G5:L5"/>
    <mergeCell ref="C79:E79"/>
  </mergeCells>
  <printOptions horizontalCentered="1"/>
  <pageMargins left="0.47222222222222221" right="0.35416666666666669" top="0.43333333333333335" bottom="0.51180555555555551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101</vt:i4>
      </vt:variant>
    </vt:vector>
  </HeadingPairs>
  <TitlesOfParts>
    <vt:vector size="125" baseType="lpstr">
      <vt:lpstr>Címrend</vt:lpstr>
      <vt:lpstr>1 kiem</vt:lpstr>
      <vt:lpstr>2 Össz</vt:lpstr>
      <vt:lpstr>3 Adók és tám</vt:lpstr>
      <vt:lpstr>4 Átvett és Felh bev</vt:lpstr>
      <vt:lpstr>5 Beruh kiad</vt:lpstr>
      <vt:lpstr>6 Tart</vt:lpstr>
      <vt:lpstr>7 Önk</vt:lpstr>
      <vt:lpstr>8 PH</vt:lpstr>
      <vt:lpstr>9 VGIG</vt:lpstr>
      <vt:lpstr>10 Járób</vt:lpstr>
      <vt:lpstr>11 Szoci</vt:lpstr>
      <vt:lpstr>12 Ovi</vt:lpstr>
      <vt:lpstr>13 Művház</vt:lpstr>
      <vt:lpstr>14 Könyvt</vt:lpstr>
      <vt:lpstr>15 létszám</vt:lpstr>
      <vt:lpstr>16 szociális kiad</vt:lpstr>
      <vt:lpstr>17 hitelek</vt:lpstr>
      <vt:lpstr>18 TÖBB ÉVES</vt:lpstr>
      <vt:lpstr>19 EU projektek</vt:lpstr>
      <vt:lpstr>20 közvetett</vt:lpstr>
      <vt:lpstr>21 MÉRLEG</vt:lpstr>
      <vt:lpstr>22 FELH TERV</vt:lpstr>
      <vt:lpstr>23 GÖRDÜLŐ</vt:lpstr>
      <vt:lpstr>'18 TÖBB ÉVES'!_pr232</vt:lpstr>
      <vt:lpstr>'18 TÖBB ÉVES'!_pr234</vt:lpstr>
      <vt:lpstr>'18 TÖBB ÉVES'!_pr235</vt:lpstr>
      <vt:lpstr>'18 TÖBB ÉVES'!_pr236</vt:lpstr>
      <vt:lpstr>'18 TÖBB ÉVES'!_pr313</vt:lpstr>
      <vt:lpstr>'18 TÖBB ÉVES'!_pr315</vt:lpstr>
      <vt:lpstr>'23 GÖRDÜLŐ'!_pr315</vt:lpstr>
      <vt:lpstr>'23 GÖRDÜLŐ'!_pr347</vt:lpstr>
      <vt:lpstr>'23 GÖRDÜLŐ'!_pr348</vt:lpstr>
      <vt:lpstr>'23 GÖRDÜLŐ'!_pr349</vt:lpstr>
      <vt:lpstr>Címrend!_pr54</vt:lpstr>
      <vt:lpstr>Címrend!_pr55</vt:lpstr>
      <vt:lpstr>Címrend!_pr56</vt:lpstr>
      <vt:lpstr>Címrend!_pr57</vt:lpstr>
      <vt:lpstr>Címrend!_pr58</vt:lpstr>
      <vt:lpstr>Címrend!_pr59</vt:lpstr>
      <vt:lpstr>Címrend!_pr61</vt:lpstr>
      <vt:lpstr>Címrend!_pr62</vt:lpstr>
      <vt:lpstr>Címrend!_pr63</vt:lpstr>
      <vt:lpstr>Címrend!_pr64</vt:lpstr>
      <vt:lpstr>Címrend!_pr65</vt:lpstr>
      <vt:lpstr>Címrend!_pr66</vt:lpstr>
      <vt:lpstr>Címrend!_pr67</vt:lpstr>
      <vt:lpstr>Címrend!_pr68</vt:lpstr>
      <vt:lpstr>Címrend!_pr69</vt:lpstr>
      <vt:lpstr>Címrend!_pr70</vt:lpstr>
      <vt:lpstr>Címrend!_pr71</vt:lpstr>
      <vt:lpstr>Címrend!_pr72</vt:lpstr>
      <vt:lpstr>Címrend!_pr73</vt:lpstr>
      <vt:lpstr>'1 kiem'!Excel_BuiltIn_Print_Area</vt:lpstr>
      <vt:lpstr>'10 Járób'!Excel_BuiltIn_Print_Area</vt:lpstr>
      <vt:lpstr>'11 Szoci'!Excel_BuiltIn_Print_Area</vt:lpstr>
      <vt:lpstr>'12 Ovi'!Excel_BuiltIn_Print_Area</vt:lpstr>
      <vt:lpstr>'13 Művház'!Excel_BuiltIn_Print_Area</vt:lpstr>
      <vt:lpstr>'14 Könyvt'!Excel_BuiltIn_Print_Area</vt:lpstr>
      <vt:lpstr>'15 létszám'!Excel_BuiltIn_Print_Area</vt:lpstr>
      <vt:lpstr>'16 szociális kiad'!Excel_BuiltIn_Print_Area</vt:lpstr>
      <vt:lpstr>'17 hitelek'!Excel_BuiltIn_Print_Area</vt:lpstr>
      <vt:lpstr>'19 EU projektek'!Excel_BuiltIn_Print_Area</vt:lpstr>
      <vt:lpstr>'2 Össz'!Excel_BuiltIn_Print_Area</vt:lpstr>
      <vt:lpstr>'23 GÖRDÜLŐ'!Excel_BuiltIn_Print_Area</vt:lpstr>
      <vt:lpstr>'3 Adók és tám'!Excel_BuiltIn_Print_Area</vt:lpstr>
      <vt:lpstr>'4 Átvett és Felh bev'!Excel_BuiltIn_Print_Area</vt:lpstr>
      <vt:lpstr>'5 Beruh kiad'!Excel_BuiltIn_Print_Area</vt:lpstr>
      <vt:lpstr>'6 Tart'!Excel_BuiltIn_Print_Area</vt:lpstr>
      <vt:lpstr>'7 Önk'!Excel_BuiltIn_Print_Area</vt:lpstr>
      <vt:lpstr>'8 PH'!Excel_BuiltIn_Print_Area</vt:lpstr>
      <vt:lpstr>'9 VGIG'!Excel_BuiltIn_Print_Area</vt:lpstr>
      <vt:lpstr>'10 Járób'!Excel_BuiltIn_Print_Titles</vt:lpstr>
      <vt:lpstr>'11 Szoci'!Excel_BuiltIn_Print_Titles</vt:lpstr>
      <vt:lpstr>'12 Ovi'!Excel_BuiltIn_Print_Titles</vt:lpstr>
      <vt:lpstr>'13 Művház'!Excel_BuiltIn_Print_Titles</vt:lpstr>
      <vt:lpstr>'14 Könyvt'!Excel_BuiltIn_Print_Titles</vt:lpstr>
      <vt:lpstr>'19 EU projektek'!Excel_BuiltIn_Print_Titles</vt:lpstr>
      <vt:lpstr>'2 Össz'!Excel_BuiltIn_Print_Titles</vt:lpstr>
      <vt:lpstr>'3 Adók és tám'!Excel_BuiltIn_Print_Titles</vt:lpstr>
      <vt:lpstr>'4 Átvett és Felh bev'!Excel_BuiltIn_Print_Titles</vt:lpstr>
      <vt:lpstr>'5 Beruh kiad'!Excel_BuiltIn_Print_Titles</vt:lpstr>
      <vt:lpstr>'7 Önk'!Excel_BuiltIn_Print_Titles</vt:lpstr>
      <vt:lpstr>'8 PH'!Excel_BuiltIn_Print_Titles</vt:lpstr>
      <vt:lpstr>'9 VGIG'!Excel_BuiltIn_Print_Titles</vt:lpstr>
      <vt:lpstr>'10 Járób'!Nyomtatási_cím</vt:lpstr>
      <vt:lpstr>'11 Szoci'!Nyomtatási_cím</vt:lpstr>
      <vt:lpstr>'12 Ovi'!Nyomtatási_cím</vt:lpstr>
      <vt:lpstr>'13 Művház'!Nyomtatási_cím</vt:lpstr>
      <vt:lpstr>'14 Könyvt'!Nyomtatási_cím</vt:lpstr>
      <vt:lpstr>'19 EU projektek'!Nyomtatási_cím</vt:lpstr>
      <vt:lpstr>'2 Össz'!Nyomtatási_cím</vt:lpstr>
      <vt:lpstr>'21 MÉRLEG'!Nyomtatási_cím</vt:lpstr>
      <vt:lpstr>'22 FELH TERV'!Nyomtatási_cím</vt:lpstr>
      <vt:lpstr>'23 GÖRDÜLŐ'!Nyomtatási_cím</vt:lpstr>
      <vt:lpstr>'3 Adók és tám'!Nyomtatási_cím</vt:lpstr>
      <vt:lpstr>'4 Átvett és Felh bev'!Nyomtatási_cím</vt:lpstr>
      <vt:lpstr>'5 Beruh kiad'!Nyomtatási_cím</vt:lpstr>
      <vt:lpstr>'7 Önk'!Nyomtatási_cím</vt:lpstr>
      <vt:lpstr>'8 PH'!Nyomtatási_cím</vt:lpstr>
      <vt:lpstr>'9 VGIG'!Nyomtatási_cím</vt:lpstr>
      <vt:lpstr>'1 kiem'!Nyomtatási_terület</vt:lpstr>
      <vt:lpstr>'10 Járób'!Nyomtatási_terület</vt:lpstr>
      <vt:lpstr>'11 Szoci'!Nyomtatási_terület</vt:lpstr>
      <vt:lpstr>'12 Ovi'!Nyomtatási_terület</vt:lpstr>
      <vt:lpstr>'13 Művház'!Nyomtatási_terület</vt:lpstr>
      <vt:lpstr>'14 Könyvt'!Nyomtatási_terület</vt:lpstr>
      <vt:lpstr>'15 létszám'!Nyomtatási_terület</vt:lpstr>
      <vt:lpstr>'16 szociális kiad'!Nyomtatási_terület</vt:lpstr>
      <vt:lpstr>'17 hitelek'!Nyomtatási_terület</vt:lpstr>
      <vt:lpstr>'18 TÖBB ÉVES'!Nyomtatási_terület</vt:lpstr>
      <vt:lpstr>'19 EU projektek'!Nyomtatási_terület</vt:lpstr>
      <vt:lpstr>'2 Össz'!Nyomtatási_terület</vt:lpstr>
      <vt:lpstr>'20 közvetett'!Nyomtatási_terület</vt:lpstr>
      <vt:lpstr>'21 MÉRLEG'!Nyomtatási_terület</vt:lpstr>
      <vt:lpstr>'22 FELH TERV'!Nyomtatási_terület</vt:lpstr>
      <vt:lpstr>'23 GÖRDÜLŐ'!Nyomtatási_terület</vt:lpstr>
      <vt:lpstr>'3 Adók és tám'!Nyomtatási_terület</vt:lpstr>
      <vt:lpstr>'4 Átvett és Felh bev'!Nyomtatási_terület</vt:lpstr>
      <vt:lpstr>'5 Beruh kiad'!Nyomtatási_terület</vt:lpstr>
      <vt:lpstr>'6 Tart'!Nyomtatási_terület</vt:lpstr>
      <vt:lpstr>'7 Önk'!Nyomtatási_terület</vt:lpstr>
      <vt:lpstr>'8 PH'!Nyomtatási_terület</vt:lpstr>
      <vt:lpstr>'9 VGIG'!Nyomtatási_terület</vt:lpstr>
      <vt:lpstr>Címrend!Nyomtatási_terület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Gallaci</dc:creator>
  <cp:lastModifiedBy>Jogizsuzsi</cp:lastModifiedBy>
  <cp:lastPrinted>2020-09-17T11:37:42Z</cp:lastPrinted>
  <dcterms:created xsi:type="dcterms:W3CDTF">2018-01-18T11:48:48Z</dcterms:created>
  <dcterms:modified xsi:type="dcterms:W3CDTF">2020-09-18T10:38:24Z</dcterms:modified>
</cp:coreProperties>
</file>