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A2231306-4BF4-40C0-940B-0776AD515A4A}" xr6:coauthVersionLast="40" xr6:coauthVersionMax="40" xr10:uidLastSave="{00000000-0000-0000-0000-000000000000}"/>
  <bookViews>
    <workbookView xWindow="-120" yWindow="-120" windowWidth="20730" windowHeight="11160" xr2:uid="{57A68D84-01B7-4267-9214-B9848CD82A4A}"/>
  </bookViews>
  <sheets>
    <sheet name="1.sz tájékoztató t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4" i="1" l="1"/>
  <c r="H153" i="1"/>
  <c r="H152" i="1"/>
  <c r="H151" i="1"/>
  <c r="H150" i="1"/>
  <c r="H149" i="1"/>
  <c r="H148" i="1"/>
  <c r="K147" i="1"/>
  <c r="J147" i="1"/>
  <c r="I147" i="1"/>
  <c r="H147" i="1" s="1"/>
  <c r="G147" i="1"/>
  <c r="F147" i="1"/>
  <c r="E147" i="1"/>
  <c r="H146" i="1"/>
  <c r="H145" i="1"/>
  <c r="I144" i="1"/>
  <c r="I142" i="1" s="1"/>
  <c r="H142" i="1" s="1"/>
  <c r="H144" i="1"/>
  <c r="E144" i="1"/>
  <c r="H143" i="1"/>
  <c r="K142" i="1"/>
  <c r="J142" i="1"/>
  <c r="G142" i="1"/>
  <c r="F142" i="1"/>
  <c r="E142" i="1"/>
  <c r="H141" i="1"/>
  <c r="H140" i="1"/>
  <c r="H139" i="1"/>
  <c r="H138" i="1"/>
  <c r="H137" i="1"/>
  <c r="H136" i="1"/>
  <c r="K135" i="1"/>
  <c r="H135" i="1" s="1"/>
  <c r="J135" i="1"/>
  <c r="I135" i="1"/>
  <c r="G135" i="1"/>
  <c r="F135" i="1"/>
  <c r="E135" i="1"/>
  <c r="H134" i="1"/>
  <c r="H133" i="1"/>
  <c r="I132" i="1"/>
  <c r="H132" i="1" s="1"/>
  <c r="K131" i="1"/>
  <c r="K155" i="1" s="1"/>
  <c r="J131" i="1"/>
  <c r="J155" i="1" s="1"/>
  <c r="I131" i="1"/>
  <c r="G131" i="1"/>
  <c r="G155" i="1" s="1"/>
  <c r="F131" i="1"/>
  <c r="F155" i="1" s="1"/>
  <c r="E131" i="1"/>
  <c r="E155" i="1" s="1"/>
  <c r="I129" i="1"/>
  <c r="H129" i="1" s="1"/>
  <c r="E129" i="1"/>
  <c r="E121" i="1" s="1"/>
  <c r="H128" i="1"/>
  <c r="H127" i="1"/>
  <c r="H126" i="1"/>
  <c r="H125" i="1"/>
  <c r="H124" i="1"/>
  <c r="H123" i="1"/>
  <c r="H122" i="1"/>
  <c r="J121" i="1"/>
  <c r="I121" i="1"/>
  <c r="H121" i="1"/>
  <c r="I120" i="1"/>
  <c r="H120" i="1" s="1"/>
  <c r="I119" i="1"/>
  <c r="H119" i="1" s="1"/>
  <c r="E119" i="1"/>
  <c r="I118" i="1"/>
  <c r="H118" i="1"/>
  <c r="E118" i="1"/>
  <c r="K117" i="1"/>
  <c r="K116" i="1" s="1"/>
  <c r="J117" i="1"/>
  <c r="I117" i="1"/>
  <c r="H117" i="1" s="1"/>
  <c r="E117" i="1"/>
  <c r="E116" i="1" s="1"/>
  <c r="J116" i="1"/>
  <c r="G116" i="1"/>
  <c r="F116" i="1"/>
  <c r="I115" i="1"/>
  <c r="I113" i="1" s="1"/>
  <c r="H113" i="1" s="1"/>
  <c r="E115" i="1"/>
  <c r="I114" i="1"/>
  <c r="H114" i="1"/>
  <c r="E114" i="1"/>
  <c r="J113" i="1"/>
  <c r="G113" i="1"/>
  <c r="E113" i="1"/>
  <c r="I112" i="1"/>
  <c r="H112" i="1"/>
  <c r="E112" i="1"/>
  <c r="H111" i="1"/>
  <c r="H110" i="1"/>
  <c r="H109" i="1"/>
  <c r="H108" i="1"/>
  <c r="I107" i="1"/>
  <c r="H107" i="1" s="1"/>
  <c r="H106" i="1"/>
  <c r="H105" i="1"/>
  <c r="H104" i="1"/>
  <c r="H103" i="1"/>
  <c r="H102" i="1"/>
  <c r="H101" i="1"/>
  <c r="J100" i="1"/>
  <c r="I100" i="1"/>
  <c r="H100" i="1"/>
  <c r="F100" i="1"/>
  <c r="E100" i="1"/>
  <c r="I99" i="1"/>
  <c r="H99" i="1"/>
  <c r="E99" i="1"/>
  <c r="K98" i="1"/>
  <c r="J98" i="1"/>
  <c r="I98" i="1"/>
  <c r="H98" i="1" s="1"/>
  <c r="E98" i="1"/>
  <c r="K97" i="1"/>
  <c r="J97" i="1"/>
  <c r="H97" i="1" s="1"/>
  <c r="I97" i="1"/>
  <c r="E97" i="1"/>
  <c r="K96" i="1"/>
  <c r="K95" i="1" s="1"/>
  <c r="J96" i="1"/>
  <c r="I96" i="1"/>
  <c r="H96" i="1" s="1"/>
  <c r="E96" i="1"/>
  <c r="E95" i="1" s="1"/>
  <c r="E130" i="1" s="1"/>
  <c r="E156" i="1" s="1"/>
  <c r="J95" i="1"/>
  <c r="J130" i="1" s="1"/>
  <c r="J156" i="1" s="1"/>
  <c r="G95" i="1"/>
  <c r="G130" i="1" s="1"/>
  <c r="G156" i="1" s="1"/>
  <c r="F95" i="1"/>
  <c r="F130" i="1" s="1"/>
  <c r="H92" i="1"/>
  <c r="H87" i="1"/>
  <c r="H86" i="1"/>
  <c r="H85" i="1"/>
  <c r="H84" i="1"/>
  <c r="H83" i="1"/>
  <c r="H82" i="1"/>
  <c r="K81" i="1"/>
  <c r="J81" i="1"/>
  <c r="I81" i="1"/>
  <c r="H81" i="1"/>
  <c r="G81" i="1"/>
  <c r="F81" i="1"/>
  <c r="E81" i="1"/>
  <c r="H80" i="1"/>
  <c r="H79" i="1"/>
  <c r="H78" i="1"/>
  <c r="K77" i="1"/>
  <c r="J77" i="1"/>
  <c r="H77" i="1" s="1"/>
  <c r="I77" i="1"/>
  <c r="G77" i="1"/>
  <c r="F77" i="1"/>
  <c r="E77" i="1"/>
  <c r="H76" i="1"/>
  <c r="K75" i="1"/>
  <c r="J75" i="1"/>
  <c r="H75" i="1" s="1"/>
  <c r="I75" i="1"/>
  <c r="K74" i="1"/>
  <c r="J74" i="1"/>
  <c r="H74" i="1" s="1"/>
  <c r="I74" i="1"/>
  <c r="G74" i="1"/>
  <c r="F74" i="1"/>
  <c r="E74" i="1"/>
  <c r="H73" i="1"/>
  <c r="H72" i="1"/>
  <c r="H71" i="1"/>
  <c r="H70" i="1"/>
  <c r="K69" i="1"/>
  <c r="K88" i="1" s="1"/>
  <c r="J69" i="1"/>
  <c r="I69" i="1"/>
  <c r="H69" i="1" s="1"/>
  <c r="G69" i="1"/>
  <c r="G88" i="1" s="1"/>
  <c r="F69" i="1"/>
  <c r="E69" i="1"/>
  <c r="H68" i="1"/>
  <c r="H67" i="1"/>
  <c r="I66" i="1"/>
  <c r="H66" i="1"/>
  <c r="K65" i="1"/>
  <c r="J65" i="1"/>
  <c r="J88" i="1" s="1"/>
  <c r="I65" i="1"/>
  <c r="I88" i="1" s="1"/>
  <c r="H65" i="1"/>
  <c r="G65" i="1"/>
  <c r="F65" i="1"/>
  <c r="F88" i="1" s="1"/>
  <c r="E65" i="1"/>
  <c r="E88" i="1" s="1"/>
  <c r="H63" i="1"/>
  <c r="H62" i="1"/>
  <c r="H61" i="1"/>
  <c r="H60" i="1"/>
  <c r="K59" i="1"/>
  <c r="J59" i="1"/>
  <c r="H59" i="1" s="1"/>
  <c r="I59" i="1"/>
  <c r="G59" i="1"/>
  <c r="F59" i="1"/>
  <c r="E59" i="1"/>
  <c r="H58" i="1"/>
  <c r="I57" i="1"/>
  <c r="H57" i="1"/>
  <c r="E57" i="1"/>
  <c r="I56" i="1"/>
  <c r="H56" i="1" s="1"/>
  <c r="E56" i="1"/>
  <c r="H55" i="1"/>
  <c r="K54" i="1"/>
  <c r="J54" i="1"/>
  <c r="I54" i="1"/>
  <c r="H54" i="1" s="1"/>
  <c r="G54" i="1"/>
  <c r="F54" i="1"/>
  <c r="E54" i="1"/>
  <c r="H53" i="1"/>
  <c r="H52" i="1"/>
  <c r="J51" i="1"/>
  <c r="H51" i="1"/>
  <c r="I50" i="1"/>
  <c r="H50" i="1"/>
  <c r="E50" i="1"/>
  <c r="H49" i="1"/>
  <c r="K48" i="1"/>
  <c r="J48" i="1"/>
  <c r="I48" i="1"/>
  <c r="H48" i="1"/>
  <c r="G48" i="1"/>
  <c r="F48" i="1"/>
  <c r="E48" i="1"/>
  <c r="J47" i="1"/>
  <c r="H47" i="1" s="1"/>
  <c r="I47" i="1"/>
  <c r="E47" i="1"/>
  <c r="I46" i="1"/>
  <c r="H46" i="1" s="1"/>
  <c r="E46" i="1"/>
  <c r="H45" i="1"/>
  <c r="H44" i="1"/>
  <c r="K43" i="1"/>
  <c r="H43" i="1"/>
  <c r="K42" i="1"/>
  <c r="J42" i="1"/>
  <c r="H42" i="1" s="1"/>
  <c r="I42" i="1"/>
  <c r="E42" i="1"/>
  <c r="K41" i="1"/>
  <c r="H41" i="1" s="1"/>
  <c r="G41" i="1"/>
  <c r="G36" i="1" s="1"/>
  <c r="I40" i="1"/>
  <c r="H40" i="1"/>
  <c r="E40" i="1"/>
  <c r="K39" i="1"/>
  <c r="K36" i="1" s="1"/>
  <c r="J39" i="1"/>
  <c r="I39" i="1"/>
  <c r="H39" i="1" s="1"/>
  <c r="E39" i="1"/>
  <c r="K38" i="1"/>
  <c r="J38" i="1"/>
  <c r="H38" i="1" s="1"/>
  <c r="I38" i="1"/>
  <c r="E38" i="1"/>
  <c r="I37" i="1"/>
  <c r="H37" i="1" s="1"/>
  <c r="E37" i="1"/>
  <c r="E36" i="1" s="1"/>
  <c r="J36" i="1"/>
  <c r="F36" i="1"/>
  <c r="I35" i="1"/>
  <c r="H35" i="1" s="1"/>
  <c r="H34" i="1"/>
  <c r="I33" i="1"/>
  <c r="H33" i="1"/>
  <c r="E33" i="1"/>
  <c r="H32" i="1"/>
  <c r="I31" i="1"/>
  <c r="H31" i="1"/>
  <c r="E31" i="1"/>
  <c r="I30" i="1"/>
  <c r="H30" i="1" s="1"/>
  <c r="E30" i="1"/>
  <c r="E29" i="1" s="1"/>
  <c r="E28" i="1" s="1"/>
  <c r="K29" i="1"/>
  <c r="J29" i="1"/>
  <c r="J28" i="1" s="1"/>
  <c r="K28" i="1"/>
  <c r="G28" i="1"/>
  <c r="F28" i="1"/>
  <c r="I27" i="1"/>
  <c r="H27" i="1"/>
  <c r="I26" i="1"/>
  <c r="H26" i="1"/>
  <c r="E26" i="1"/>
  <c r="H25" i="1"/>
  <c r="H24" i="1"/>
  <c r="H23" i="1"/>
  <c r="H22" i="1"/>
  <c r="K21" i="1"/>
  <c r="J21" i="1"/>
  <c r="I21" i="1"/>
  <c r="H21" i="1" s="1"/>
  <c r="G21" i="1"/>
  <c r="F21" i="1"/>
  <c r="E21" i="1"/>
  <c r="I20" i="1"/>
  <c r="H20" i="1"/>
  <c r="I19" i="1"/>
  <c r="H19" i="1"/>
  <c r="E19" i="1"/>
  <c r="H18" i="1"/>
  <c r="H17" i="1"/>
  <c r="H16" i="1"/>
  <c r="H15" i="1"/>
  <c r="K14" i="1"/>
  <c r="J14" i="1"/>
  <c r="I14" i="1"/>
  <c r="H14" i="1" s="1"/>
  <c r="G14" i="1"/>
  <c r="F14" i="1"/>
  <c r="E14" i="1"/>
  <c r="H13" i="1"/>
  <c r="I12" i="1"/>
  <c r="H12" i="1" s="1"/>
  <c r="E12" i="1"/>
  <c r="I11" i="1"/>
  <c r="H11" i="1"/>
  <c r="E11" i="1"/>
  <c r="I10" i="1"/>
  <c r="H10" i="1" s="1"/>
  <c r="E10" i="1"/>
  <c r="E7" i="1" s="1"/>
  <c r="H9" i="1"/>
  <c r="H8" i="1"/>
  <c r="K7" i="1"/>
  <c r="K64" i="1" s="1"/>
  <c r="K89" i="1" s="1"/>
  <c r="J7" i="1"/>
  <c r="J64" i="1" s="1"/>
  <c r="G7" i="1"/>
  <c r="G64" i="1" s="1"/>
  <c r="G89" i="1" s="1"/>
  <c r="F7" i="1"/>
  <c r="F64" i="1" s="1"/>
  <c r="E64" i="1" l="1"/>
  <c r="E89" i="1" s="1"/>
  <c r="F156" i="1"/>
  <c r="I155" i="1"/>
  <c r="H155" i="1" s="1"/>
  <c r="J89" i="1"/>
  <c r="F89" i="1"/>
  <c r="H88" i="1"/>
  <c r="K130" i="1"/>
  <c r="K156" i="1" s="1"/>
  <c r="I7" i="1"/>
  <c r="I29" i="1"/>
  <c r="I36" i="1"/>
  <c r="H36" i="1" s="1"/>
  <c r="H115" i="1"/>
  <c r="I95" i="1"/>
  <c r="I116" i="1"/>
  <c r="H116" i="1" s="1"/>
  <c r="H131" i="1"/>
  <c r="H95" i="1" l="1"/>
  <c r="I130" i="1"/>
  <c r="I64" i="1"/>
  <c r="H7" i="1"/>
  <c r="H29" i="1"/>
  <c r="I28" i="1"/>
  <c r="H28" i="1" s="1"/>
  <c r="I89" i="1" l="1"/>
  <c r="H89" i="1" s="1"/>
  <c r="H64" i="1"/>
  <c r="H130" i="1"/>
  <c r="I156" i="1"/>
  <c r="H156" i="1" s="1"/>
</calcChain>
</file>

<file path=xl/sharedStrings.xml><?xml version="1.0" encoding="utf-8"?>
<sst xmlns="http://schemas.openxmlformats.org/spreadsheetml/2006/main" count="316" uniqueCount="273">
  <si>
    <t xml:space="preserve">"
Tiszavasvári Város Önkormányzata
2019.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</si>
  <si>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</si>
  <si>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</si>
  <si>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</si>
  <si>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</si>
  <si>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</si>
  <si>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2017. évi tény</t>
  </si>
  <si>
    <t>2018. évi módosított előirányzat</t>
  </si>
  <si>
    <t>2019.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</si>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</sst>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"/>
  </numFmts>
  <fonts count="1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197">
    <xf numFmtId="0" fontId="0" fillId="0" borderId="0" xfId="0"/>
    <xf numFmtId="0" fontId="2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1" fillId="0" borderId="0" xfId="2"/>
    <xf numFmtId="164" fontId="3" fillId="0" borderId="0" xfId="2" applyNumberFormat="1" applyFont="1" applyAlignment="1">
      <alignment horizontal="center" vertical="center"/>
    </xf>
    <xf numFmtId="164" fontId="4" fillId="0" borderId="1" xfId="2" applyNumberFormat="1" applyFont="1" applyBorder="1" applyAlignment="1">
      <alignment horizontal="left" vertical="center"/>
    </xf>
    <xf numFmtId="3" fontId="4" fillId="0" borderId="1" xfId="2" applyNumberFormat="1" applyFont="1" applyBorder="1" applyAlignment="1">
      <alignment horizontal="right" vertical="center" indent="1"/>
    </xf>
    <xf numFmtId="3" fontId="4" fillId="0" borderId="0" xfId="2" applyNumberFormat="1" applyFont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3" fontId="7" fillId="0" borderId="3" xfId="2" applyNumberFormat="1" applyFont="1" applyBorder="1" applyAlignment="1">
      <alignment horizontal="right" vertical="center" wrapText="1" indent="1"/>
    </xf>
    <xf numFmtId="3" fontId="7" fillId="0" borderId="4" xfId="2" applyNumberFormat="1" applyFont="1" applyBorder="1" applyAlignment="1">
      <alignment horizontal="right" vertical="center" wrapText="1" indent="1"/>
    </xf>
    <xf numFmtId="3" fontId="7" fillId="0" borderId="5" xfId="2" applyNumberFormat="1" applyFont="1" applyBorder="1" applyAlignment="1">
      <alignment horizontal="right" vertical="center" wrapText="1" inden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3" fontId="8" fillId="0" borderId="4" xfId="2" applyNumberFormat="1" applyFont="1" applyBorder="1" applyAlignment="1">
      <alignment horizontal="right" vertical="center" wrapText="1" indent="1"/>
    </xf>
    <xf numFmtId="3" fontId="8" fillId="0" borderId="6" xfId="2" applyNumberFormat="1" applyFont="1" applyBorder="1" applyAlignment="1">
      <alignment horizontal="right" vertical="center" wrapText="1" indent="1"/>
    </xf>
    <xf numFmtId="3" fontId="8" fillId="0" borderId="7" xfId="2" applyNumberFormat="1" applyFont="1" applyBorder="1" applyAlignment="1">
      <alignment horizontal="right" vertical="center" wrapText="1" indent="1"/>
    </xf>
    <xf numFmtId="0" fontId="9" fillId="0" borderId="0" xfId="2" applyFont="1"/>
    <xf numFmtId="0" fontId="8" fillId="0" borderId="2" xfId="2" applyFont="1" applyBorder="1" applyAlignment="1">
      <alignment horizontal="left" vertical="center" wrapText="1" indent="1"/>
    </xf>
    <xf numFmtId="0" fontId="8" fillId="0" borderId="3" xfId="2" applyFont="1" applyBorder="1" applyAlignment="1">
      <alignment horizontal="left" vertical="center" wrapText="1" indent="1"/>
    </xf>
    <xf numFmtId="3" fontId="8" fillId="0" borderId="5" xfId="2" applyNumberFormat="1" applyFont="1" applyBorder="1" applyAlignment="1">
      <alignment horizontal="right" vertical="center" wrapText="1" indent="1"/>
    </xf>
    <xf numFmtId="3" fontId="8" fillId="0" borderId="8" xfId="2" applyNumberFormat="1" applyFont="1" applyBorder="1" applyAlignment="1">
      <alignment horizontal="right" vertical="center" wrapText="1" indent="1"/>
    </xf>
    <xf numFmtId="164" fontId="8" fillId="0" borderId="5" xfId="2" applyNumberFormat="1" applyFont="1" applyBorder="1" applyAlignment="1">
      <alignment horizontal="right" vertical="center" wrapText="1" indent="1"/>
    </xf>
    <xf numFmtId="164" fontId="8" fillId="0" borderId="8" xfId="2" applyNumberFormat="1" applyFont="1" applyBorder="1" applyAlignment="1">
      <alignment horizontal="right" vertical="center" wrapText="1" indent="1"/>
    </xf>
    <xf numFmtId="0" fontId="10" fillId="0" borderId="0" xfId="2" applyFont="1"/>
    <xf numFmtId="49" fontId="9" fillId="0" borderId="9" xfId="2" applyNumberFormat="1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left" wrapText="1" indent="1"/>
    </xf>
    <xf numFmtId="3" fontId="11" fillId="0" borderId="11" xfId="1" applyNumberFormat="1" applyFont="1" applyBorder="1" applyAlignment="1">
      <alignment horizontal="right" wrapText="1" indent="1"/>
    </xf>
    <xf numFmtId="3" fontId="12" fillId="0" borderId="12" xfId="2" applyNumberFormat="1" applyFont="1" applyBorder="1" applyAlignment="1">
      <alignment horizontal="right" vertical="center" wrapText="1" indent="1"/>
    </xf>
    <xf numFmtId="3" fontId="12" fillId="0" borderId="13" xfId="2" applyNumberFormat="1" applyFont="1" applyBorder="1" applyAlignment="1" applyProtection="1">
      <alignment horizontal="right" vertical="center" wrapText="1" indent="1"/>
      <protection locked="0"/>
    </xf>
    <xf numFmtId="3" fontId="12" fillId="0" borderId="14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12" xfId="2" applyNumberFormat="1" applyFont="1" applyBorder="1" applyAlignment="1">
      <alignment horizontal="right" vertical="center" wrapText="1" indent="1"/>
    </xf>
    <xf numFmtId="164" fontId="12" fillId="0" borderId="14" xfId="2" applyNumberFormat="1" applyFont="1" applyBorder="1" applyAlignment="1" applyProtection="1">
      <alignment horizontal="right" vertical="center" wrapText="1" indent="1"/>
      <protection locked="0"/>
    </xf>
    <xf numFmtId="49" fontId="9" fillId="0" borderId="15" xfId="2" applyNumberFormat="1" applyFont="1" applyBorder="1" applyAlignment="1">
      <alignment horizontal="left" vertical="center" wrapText="1" indent="1"/>
    </xf>
    <xf numFmtId="0" fontId="11" fillId="0" borderId="16" xfId="0" applyFont="1" applyBorder="1" applyAlignment="1">
      <alignment horizontal="left" wrapText="1" indent="1"/>
    </xf>
    <xf numFmtId="3" fontId="11" fillId="0" borderId="17" xfId="1" applyNumberFormat="1" applyFont="1" applyBorder="1" applyAlignment="1">
      <alignment horizontal="right" wrapText="1" indent="1"/>
    </xf>
    <xf numFmtId="3" fontId="12" fillId="0" borderId="18" xfId="2" applyNumberFormat="1" applyFont="1" applyBorder="1" applyAlignment="1">
      <alignment horizontal="right" vertical="center" wrapText="1" indent="1"/>
    </xf>
    <xf numFmtId="3" fontId="12" fillId="0" borderId="19" xfId="2" applyNumberFormat="1" applyFont="1" applyBorder="1" applyAlignment="1" applyProtection="1">
      <alignment horizontal="right" vertical="center" wrapText="1" indent="1"/>
      <protection locked="0"/>
    </xf>
    <xf numFmtId="3" fontId="12" fillId="0" borderId="18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18" xfId="2" applyNumberFormat="1" applyFont="1" applyBorder="1" applyAlignment="1">
      <alignment horizontal="right" vertical="center" wrapText="1" indent="1"/>
    </xf>
    <xf numFmtId="164" fontId="12" fillId="0" borderId="18" xfId="2" applyNumberFormat="1" applyFont="1" applyBorder="1" applyAlignment="1" applyProtection="1">
      <alignment horizontal="right" vertical="center" wrapText="1" indent="1"/>
      <protection locked="0"/>
    </xf>
    <xf numFmtId="0" fontId="11" fillId="0" borderId="16" xfId="0" applyFont="1" applyBorder="1" applyAlignment="1">
      <alignment horizontal="left" vertical="center" wrapText="1" indent="1"/>
    </xf>
    <xf numFmtId="49" fontId="9" fillId="0" borderId="20" xfId="2" applyNumberFormat="1" applyFont="1" applyBorder="1" applyAlignment="1">
      <alignment horizontal="left" vertical="center" wrapText="1" indent="1"/>
    </xf>
    <xf numFmtId="0" fontId="11" fillId="0" borderId="21" xfId="0" applyFont="1" applyBorder="1" applyAlignment="1">
      <alignment horizontal="left" vertical="center" wrapText="1" indent="1"/>
    </xf>
    <xf numFmtId="3" fontId="11" fillId="0" borderId="22" xfId="1" applyNumberFormat="1" applyFont="1" applyBorder="1" applyAlignment="1">
      <alignment horizontal="right" wrapText="1" indent="1"/>
    </xf>
    <xf numFmtId="3" fontId="12" fillId="0" borderId="23" xfId="2" applyNumberFormat="1" applyFont="1" applyBorder="1" applyAlignment="1">
      <alignment horizontal="right" vertical="center" wrapText="1" indent="1"/>
    </xf>
    <xf numFmtId="3" fontId="9" fillId="0" borderId="19" xfId="2" applyNumberFormat="1" applyFont="1" applyBorder="1" applyAlignment="1" applyProtection="1">
      <alignment horizontal="right" vertical="center" wrapText="1" indent="1"/>
      <protection locked="0"/>
    </xf>
    <xf numFmtId="3" fontId="9" fillId="0" borderId="18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Border="1" applyAlignment="1">
      <alignment horizontal="right" vertical="center" wrapText="1" indent="1"/>
    </xf>
    <xf numFmtId="164" fontId="9" fillId="0" borderId="19" xfId="2" applyNumberFormat="1" applyFont="1" applyBorder="1" applyAlignment="1" applyProtection="1">
      <alignment horizontal="right" vertical="center" wrapText="1" indent="1"/>
      <protection locked="0"/>
    </xf>
    <xf numFmtId="164" fontId="9" fillId="0" borderId="18" xfId="2" applyNumberFormat="1" applyFont="1" applyBorder="1" applyAlignment="1" applyProtection="1">
      <alignment horizontal="right" vertical="center" wrapText="1" indent="1"/>
      <protection locked="0"/>
    </xf>
    <xf numFmtId="0" fontId="13" fillId="0" borderId="4" xfId="0" applyFont="1" applyBorder="1" applyAlignment="1">
      <alignment horizontal="left" vertical="center" wrapText="1" indent="1"/>
    </xf>
    <xf numFmtId="3" fontId="13" fillId="0" borderId="24" xfId="1" applyNumberFormat="1" applyFont="1" applyBorder="1" applyAlignment="1">
      <alignment horizontal="right" wrapText="1" indent="1"/>
    </xf>
    <xf numFmtId="3" fontId="9" fillId="0" borderId="13" xfId="2" applyNumberFormat="1" applyFont="1" applyBorder="1" applyAlignment="1" applyProtection="1">
      <alignment horizontal="right" vertical="center" wrapText="1" indent="1"/>
      <protection locked="0"/>
    </xf>
    <xf numFmtId="3" fontId="9" fillId="0" borderId="14" xfId="2" applyNumberFormat="1" applyFont="1" applyBorder="1" applyAlignment="1" applyProtection="1">
      <alignment horizontal="right" vertical="center" wrapText="1" indent="1"/>
      <protection locked="0"/>
    </xf>
    <xf numFmtId="164" fontId="9" fillId="0" borderId="13" xfId="2" applyNumberFormat="1" applyFont="1" applyBorder="1" applyAlignment="1" applyProtection="1">
      <alignment horizontal="right" vertical="center" wrapText="1" indent="1"/>
      <protection locked="0"/>
    </xf>
    <xf numFmtId="164" fontId="9" fillId="0" borderId="14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2" applyNumberFormat="1" applyFont="1" applyBorder="1" applyAlignment="1" applyProtection="1">
      <alignment horizontal="right" vertical="center" wrapText="1" indent="1"/>
      <protection locked="0"/>
    </xf>
    <xf numFmtId="3" fontId="12" fillId="0" borderId="25" xfId="2" applyNumberFormat="1" applyFont="1" applyBorder="1" applyAlignment="1" applyProtection="1">
      <alignment horizontal="right" vertical="center" wrapText="1" indent="1"/>
      <protection locked="0"/>
    </xf>
    <xf numFmtId="3" fontId="12" fillId="0" borderId="26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26" xfId="2" applyNumberFormat="1" applyFont="1" applyBorder="1" applyAlignment="1" applyProtection="1">
      <alignment horizontal="right" vertical="center" wrapText="1" indent="1"/>
      <protection locked="0"/>
    </xf>
    <xf numFmtId="0" fontId="8" fillId="0" borderId="4" xfId="2" applyFont="1" applyBorder="1" applyAlignment="1">
      <alignment horizontal="left" vertical="center" wrapText="1" indent="1"/>
    </xf>
    <xf numFmtId="3" fontId="14" fillId="0" borderId="13" xfId="2" applyNumberFormat="1" applyFont="1" applyBorder="1" applyAlignment="1" applyProtection="1">
      <alignment horizontal="right" vertical="center" wrapText="1" indent="1"/>
      <protection locked="0"/>
    </xf>
    <xf numFmtId="3" fontId="14" fillId="0" borderId="14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2" applyNumberFormat="1" applyFont="1" applyBorder="1" applyAlignment="1" applyProtection="1">
      <alignment horizontal="right" vertical="center" wrapText="1" indent="1"/>
      <protection locked="0"/>
    </xf>
    <xf numFmtId="164" fontId="14" fillId="0" borderId="14" xfId="2" applyNumberFormat="1" applyFont="1" applyBorder="1" applyAlignment="1" applyProtection="1">
      <alignment horizontal="right" vertical="center" wrapText="1" indent="1"/>
      <protection locked="0"/>
    </xf>
    <xf numFmtId="3" fontId="8" fillId="0" borderId="18" xfId="2" applyNumberFormat="1" applyFont="1" applyBorder="1" applyAlignment="1">
      <alignment horizontal="right" vertical="center" wrapText="1" indent="1"/>
    </xf>
    <xf numFmtId="164" fontId="8" fillId="0" borderId="18" xfId="2" applyNumberFormat="1" applyFont="1" applyBorder="1" applyAlignment="1">
      <alignment horizontal="right" vertical="center" wrapText="1" indent="1"/>
    </xf>
    <xf numFmtId="0" fontId="11" fillId="0" borderId="21" xfId="0" applyFont="1" applyBorder="1" applyAlignment="1">
      <alignment horizontal="left" wrapText="1" indent="1"/>
    </xf>
    <xf numFmtId="3" fontId="14" fillId="0" borderId="8" xfId="2" applyNumberFormat="1" applyFont="1" applyBorder="1" applyAlignment="1">
      <alignment horizontal="right" vertical="center" wrapText="1" indent="1"/>
    </xf>
    <xf numFmtId="3" fontId="14" fillId="0" borderId="5" xfId="2" applyNumberFormat="1" applyFont="1" applyBorder="1" applyAlignment="1">
      <alignment horizontal="right" vertical="center" wrapText="1" indent="1"/>
    </xf>
    <xf numFmtId="164" fontId="14" fillId="0" borderId="8" xfId="2" applyNumberFormat="1" applyFont="1" applyBorder="1" applyAlignment="1">
      <alignment horizontal="right" vertical="center" wrapText="1" indent="1"/>
    </xf>
    <xf numFmtId="164" fontId="14" fillId="0" borderId="5" xfId="2" applyNumberFormat="1" applyFont="1" applyBorder="1" applyAlignment="1">
      <alignment horizontal="right" vertical="center" wrapText="1" indent="1"/>
    </xf>
    <xf numFmtId="3" fontId="9" fillId="0" borderId="13" xfId="2" applyNumberFormat="1" applyFont="1" applyBorder="1" applyAlignment="1">
      <alignment horizontal="right" vertical="center" wrapText="1" indent="1"/>
    </xf>
    <xf numFmtId="3" fontId="9" fillId="0" borderId="14" xfId="2" applyNumberFormat="1" applyFont="1" applyBorder="1" applyAlignment="1">
      <alignment horizontal="right" vertical="center" wrapText="1" indent="1"/>
    </xf>
    <xf numFmtId="164" fontId="9" fillId="0" borderId="13" xfId="2" applyNumberFormat="1" applyFont="1" applyBorder="1" applyAlignment="1">
      <alignment horizontal="right" vertical="center" wrapText="1" indent="1"/>
    </xf>
    <xf numFmtId="0" fontId="11" fillId="0" borderId="16" xfId="0" quotePrefix="1" applyFont="1" applyBorder="1" applyAlignment="1">
      <alignment horizontal="left" wrapText="1" indent="1"/>
    </xf>
    <xf numFmtId="164" fontId="12" fillId="0" borderId="14" xfId="2" applyNumberFormat="1" applyFont="1" applyBorder="1" applyAlignment="1">
      <alignment horizontal="right" vertical="center" wrapText="1" indent="1"/>
    </xf>
    <xf numFmtId="3" fontId="8" fillId="0" borderId="12" xfId="2" applyNumberFormat="1" applyFont="1" applyBorder="1" applyAlignment="1">
      <alignment horizontal="right" vertical="center" wrapText="1" indent="1"/>
    </xf>
    <xf numFmtId="164" fontId="8" fillId="0" borderId="12" xfId="2" applyNumberFormat="1" applyFont="1" applyBorder="1" applyAlignment="1">
      <alignment horizontal="right" vertical="center" wrapText="1" indent="1"/>
    </xf>
    <xf numFmtId="3" fontId="8" fillId="0" borderId="23" xfId="2" applyNumberFormat="1" applyFont="1" applyBorder="1" applyAlignment="1">
      <alignment horizontal="right" vertical="center" wrapText="1" indent="1"/>
    </xf>
    <xf numFmtId="164" fontId="8" fillId="0" borderId="23" xfId="2" applyNumberFormat="1" applyFont="1" applyBorder="1" applyAlignment="1">
      <alignment horizontal="right" vertical="center" wrapText="1" indent="1"/>
    </xf>
    <xf numFmtId="3" fontId="8" fillId="0" borderId="24" xfId="2" applyNumberFormat="1" applyFont="1" applyBorder="1" applyAlignment="1">
      <alignment horizontal="right" vertical="center" wrapText="1" indent="1"/>
    </xf>
    <xf numFmtId="164" fontId="8" fillId="0" borderId="24" xfId="2" applyNumberFormat="1" applyFont="1" applyBorder="1" applyAlignment="1">
      <alignment horizontal="right" vertical="center" wrapText="1" indent="1"/>
    </xf>
    <xf numFmtId="3" fontId="8" fillId="0" borderId="14" xfId="2" applyNumberFormat="1" applyFont="1" applyBorder="1" applyAlignment="1">
      <alignment horizontal="right" vertical="center" wrapText="1" indent="1"/>
    </xf>
    <xf numFmtId="164" fontId="8" fillId="0" borderId="14" xfId="2" applyNumberFormat="1" applyFont="1" applyBorder="1" applyAlignment="1">
      <alignment horizontal="right" vertical="center" wrapText="1" indent="1"/>
    </xf>
    <xf numFmtId="3" fontId="9" fillId="0" borderId="25" xfId="2" applyNumberFormat="1" applyFont="1" applyBorder="1" applyAlignment="1" applyProtection="1">
      <alignment horizontal="right" vertical="center" wrapText="1" indent="1"/>
      <protection locked="0"/>
    </xf>
    <xf numFmtId="3" fontId="9" fillId="0" borderId="26" xfId="2" applyNumberFormat="1" applyFont="1" applyBorder="1" applyAlignment="1" applyProtection="1">
      <alignment horizontal="right" vertical="center" wrapText="1" indent="1"/>
      <protection locked="0"/>
    </xf>
    <xf numFmtId="164" fontId="9" fillId="0" borderId="25" xfId="2" applyNumberFormat="1" applyFont="1" applyBorder="1" applyAlignment="1" applyProtection="1">
      <alignment horizontal="right" vertical="center" wrapText="1" indent="1"/>
      <protection locked="0"/>
    </xf>
    <xf numFmtId="164" fontId="9" fillId="0" borderId="26" xfId="2" applyNumberFormat="1" applyFont="1" applyBorder="1" applyAlignment="1" applyProtection="1">
      <alignment horizontal="right" vertical="center" wrapText="1" indent="1"/>
      <protection locked="0"/>
    </xf>
    <xf numFmtId="0" fontId="8" fillId="0" borderId="2" xfId="2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3" fontId="9" fillId="0" borderId="24" xfId="2" applyNumberFormat="1" applyFont="1" applyBorder="1" applyAlignment="1">
      <alignment horizontal="right" vertical="center" wrapText="1" indent="1"/>
    </xf>
    <xf numFmtId="3" fontId="14" fillId="0" borderId="24" xfId="2" applyNumberFormat="1" applyFont="1" applyBorder="1" applyAlignment="1">
      <alignment horizontal="right" vertical="center" wrapText="1" indent="1"/>
    </xf>
    <xf numFmtId="0" fontId="11" fillId="0" borderId="9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11" fillId="0" borderId="20" xfId="0" applyFont="1" applyBorder="1" applyAlignment="1">
      <alignment wrapText="1"/>
    </xf>
    <xf numFmtId="3" fontId="11" fillId="0" borderId="24" xfId="1" applyNumberFormat="1" applyFont="1" applyBorder="1" applyAlignment="1">
      <alignment horizontal="right" wrapText="1" indent="1"/>
    </xf>
    <xf numFmtId="3" fontId="8" fillId="0" borderId="8" xfId="2" applyNumberFormat="1" applyFont="1" applyBorder="1" applyAlignment="1" applyProtection="1">
      <alignment horizontal="right" vertical="center" wrapText="1" indent="1"/>
      <protection locked="0"/>
    </xf>
    <xf numFmtId="3" fontId="8" fillId="0" borderId="5" xfId="2" applyNumberFormat="1" applyFont="1" applyBorder="1" applyAlignment="1" applyProtection="1">
      <alignment horizontal="right" vertical="center" wrapText="1" indent="1"/>
      <protection locked="0"/>
    </xf>
    <xf numFmtId="164" fontId="8" fillId="0" borderId="8" xfId="2" applyNumberFormat="1" applyFont="1" applyBorder="1" applyAlignment="1" applyProtection="1">
      <alignment horizontal="right" vertical="center" wrapText="1" indent="1"/>
      <protection locked="0"/>
    </xf>
    <xf numFmtId="164" fontId="8" fillId="0" borderId="5" xfId="2" applyNumberFormat="1" applyFont="1" applyBorder="1" applyAlignment="1" applyProtection="1">
      <alignment horizontal="right" vertical="center" wrapText="1" indent="1"/>
      <protection locked="0"/>
    </xf>
    <xf numFmtId="0" fontId="13" fillId="0" borderId="4" xfId="0" applyFont="1" applyBorder="1" applyAlignment="1">
      <alignment wrapText="1"/>
    </xf>
    <xf numFmtId="0" fontId="13" fillId="0" borderId="27" xfId="0" applyFont="1" applyBorder="1" applyAlignment="1">
      <alignment vertical="center" wrapText="1"/>
    </xf>
    <xf numFmtId="0" fontId="13" fillId="0" borderId="28" xfId="0" applyFont="1" applyBorder="1" applyAlignment="1">
      <alignment wrapText="1"/>
    </xf>
    <xf numFmtId="0" fontId="3" fillId="0" borderId="29" xfId="2" applyFont="1" applyBorder="1" applyAlignment="1">
      <alignment horizontal="center" vertical="center" wrapText="1"/>
    </xf>
    <xf numFmtId="0" fontId="3" fillId="0" borderId="29" xfId="2" applyFont="1" applyBorder="1" applyAlignment="1">
      <alignment vertical="center" wrapText="1"/>
    </xf>
    <xf numFmtId="3" fontId="3" fillId="0" borderId="29" xfId="2" applyNumberFormat="1" applyFont="1" applyBorder="1" applyAlignment="1">
      <alignment horizontal="right" vertical="center" wrapText="1" indent="1"/>
    </xf>
    <xf numFmtId="3" fontId="9" fillId="0" borderId="29" xfId="2" applyNumberFormat="1" applyFont="1" applyBorder="1" applyAlignment="1" applyProtection="1">
      <alignment horizontal="right" vertical="center" wrapText="1" indent="1"/>
      <protection locked="0"/>
    </xf>
    <xf numFmtId="3" fontId="9" fillId="0" borderId="0" xfId="2" applyNumberFormat="1" applyFont="1" applyAlignment="1" applyProtection="1">
      <alignment horizontal="right" vertical="center" wrapText="1" indent="1"/>
      <protection locked="0"/>
    </xf>
    <xf numFmtId="3" fontId="12" fillId="0" borderId="0" xfId="2" applyNumberFormat="1" applyFont="1" applyAlignment="1" applyProtection="1">
      <alignment horizontal="right" vertical="center" wrapText="1" indent="1"/>
      <protection locked="0"/>
    </xf>
    <xf numFmtId="164" fontId="4" fillId="0" borderId="1" xfId="2" applyNumberFormat="1" applyFont="1" applyBorder="1" applyAlignment="1">
      <alignment horizontal="left"/>
    </xf>
    <xf numFmtId="3" fontId="4" fillId="0" borderId="1" xfId="2" applyNumberFormat="1" applyFont="1" applyBorder="1" applyAlignment="1">
      <alignment horizontal="right" indent="1"/>
    </xf>
    <xf numFmtId="3" fontId="6" fillId="0" borderId="1" xfId="0" applyNumberFormat="1" applyFont="1" applyBorder="1" applyAlignment="1">
      <alignment horizontal="right" vertical="center" indent="1"/>
    </xf>
    <xf numFmtId="0" fontId="7" fillId="0" borderId="4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3" fontId="8" fillId="0" borderId="30" xfId="2" applyNumberFormat="1" applyFont="1" applyBorder="1" applyAlignment="1">
      <alignment horizontal="right" vertical="center" wrapText="1" indent="1"/>
    </xf>
    <xf numFmtId="0" fontId="8" fillId="0" borderId="31" xfId="2" applyFont="1" applyBorder="1" applyAlignment="1">
      <alignment horizontal="left" vertical="center" wrapText="1" indent="1"/>
    </xf>
    <xf numFmtId="0" fontId="8" fillId="0" borderId="6" xfId="2" applyFont="1" applyBorder="1" applyAlignment="1">
      <alignment vertical="center" wrapText="1"/>
    </xf>
    <xf numFmtId="3" fontId="8" fillId="0" borderId="32" xfId="2" applyNumberFormat="1" applyFont="1" applyBorder="1" applyAlignment="1">
      <alignment horizontal="right" vertical="center" wrapText="1" indent="1"/>
    </xf>
    <xf numFmtId="164" fontId="8" fillId="0" borderId="5" xfId="2" applyNumberFormat="1" applyFont="1" applyBorder="1" applyAlignment="1">
      <alignment horizontal="center" vertical="center" wrapText="1"/>
    </xf>
    <xf numFmtId="164" fontId="8" fillId="0" borderId="32" xfId="2" applyNumberFormat="1" applyFont="1" applyBorder="1" applyAlignment="1">
      <alignment horizontal="right" vertical="center" wrapText="1" indent="1"/>
    </xf>
    <xf numFmtId="164" fontId="8" fillId="0" borderId="7" xfId="2" applyNumberFormat="1" applyFont="1" applyBorder="1" applyAlignment="1">
      <alignment horizontal="right" vertical="center" wrapText="1" indent="1"/>
    </xf>
    <xf numFmtId="49" fontId="9" fillId="0" borderId="33" xfId="2" applyNumberFormat="1" applyFont="1" applyBorder="1" applyAlignment="1">
      <alignment horizontal="left" vertical="center" wrapText="1" indent="1"/>
    </xf>
    <xf numFmtId="0" fontId="9" fillId="0" borderId="34" xfId="2" applyFont="1" applyBorder="1" applyAlignment="1">
      <alignment horizontal="left" vertical="center" wrapText="1" indent="1"/>
    </xf>
    <xf numFmtId="3" fontId="9" fillId="0" borderId="11" xfId="1" applyNumberFormat="1" applyFont="1" applyBorder="1" applyAlignment="1">
      <alignment horizontal="right" wrapText="1" indent="1"/>
    </xf>
    <xf numFmtId="3" fontId="12" fillId="0" borderId="13" xfId="2" applyNumberFormat="1" applyFont="1" applyBorder="1" applyAlignment="1">
      <alignment horizontal="right" vertical="center" wrapText="1" indent="1"/>
    </xf>
    <xf numFmtId="3" fontId="12" fillId="0" borderId="35" xfId="2" applyNumberFormat="1" applyFont="1" applyBorder="1" applyAlignment="1" applyProtection="1">
      <alignment horizontal="right" vertical="center" wrapText="1" indent="1"/>
      <protection locked="0"/>
    </xf>
    <xf numFmtId="3" fontId="12" fillId="0" borderId="12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Border="1" applyAlignment="1">
      <alignment horizontal="center" vertical="center" wrapText="1"/>
    </xf>
    <xf numFmtId="164" fontId="12" fillId="0" borderId="35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12" xfId="2" applyNumberFormat="1" applyFont="1" applyBorder="1" applyAlignment="1" applyProtection="1">
      <alignment horizontal="right" vertical="center" wrapText="1" indent="1"/>
      <protection locked="0"/>
    </xf>
    <xf numFmtId="0" fontId="9" fillId="0" borderId="16" xfId="2" applyFont="1" applyBorder="1" applyAlignment="1">
      <alignment horizontal="left" vertical="center" wrapText="1" indent="1"/>
    </xf>
    <xf numFmtId="3" fontId="9" fillId="0" borderId="36" xfId="1" applyNumberFormat="1" applyFont="1" applyBorder="1" applyAlignment="1">
      <alignment horizontal="right" wrapText="1" indent="1"/>
    </xf>
    <xf numFmtId="3" fontId="12" fillId="0" borderId="19" xfId="2" applyNumberFormat="1" applyFont="1" applyBorder="1" applyAlignment="1">
      <alignment horizontal="right" vertical="center" wrapText="1" indent="1"/>
    </xf>
    <xf numFmtId="3" fontId="9" fillId="0" borderId="37" xfId="1" applyNumberFormat="1" applyFont="1" applyBorder="1" applyAlignment="1">
      <alignment horizontal="right" wrapText="1" indent="1"/>
    </xf>
    <xf numFmtId="0" fontId="9" fillId="0" borderId="38" xfId="2" applyFont="1" applyBorder="1" applyAlignment="1">
      <alignment horizontal="left" vertical="center" wrapText="1" indent="1"/>
    </xf>
    <xf numFmtId="0" fontId="9" fillId="0" borderId="0" xfId="2" applyFont="1" applyAlignment="1">
      <alignment horizontal="left" vertical="center" wrapText="1" indent="1"/>
    </xf>
    <xf numFmtId="0" fontId="9" fillId="0" borderId="21" xfId="2" applyFont="1" applyBorder="1" applyAlignment="1">
      <alignment horizontal="left" vertical="center" wrapText="1" indent="6"/>
    </xf>
    <xf numFmtId="0" fontId="9" fillId="0" borderId="16" xfId="2" applyFont="1" applyBorder="1" applyAlignment="1">
      <alignment horizontal="left" indent="6"/>
    </xf>
    <xf numFmtId="3" fontId="9" fillId="0" borderId="37" xfId="1" applyNumberFormat="1" applyFont="1" applyBorder="1" applyAlignment="1">
      <alignment horizontal="right" indent="1"/>
    </xf>
    <xf numFmtId="0" fontId="9" fillId="0" borderId="16" xfId="2" applyFont="1" applyBorder="1" applyAlignment="1">
      <alignment horizontal="left" vertical="center" wrapText="1" indent="6"/>
    </xf>
    <xf numFmtId="3" fontId="9" fillId="0" borderId="37" xfId="1" applyNumberFormat="1" applyFont="1" applyBorder="1" applyAlignment="1">
      <alignment horizontal="right" vertical="center" wrapText="1" indent="1"/>
    </xf>
    <xf numFmtId="49" fontId="9" fillId="0" borderId="39" xfId="2" applyNumberFormat="1" applyFont="1" applyBorder="1" applyAlignment="1">
      <alignment horizontal="left" vertical="center" wrapText="1" indent="1"/>
    </xf>
    <xf numFmtId="3" fontId="12" fillId="0" borderId="36" xfId="1" applyNumberFormat="1" applyFont="1" applyBorder="1" applyAlignment="1">
      <alignment horizontal="right" vertical="center" wrapText="1" indent="1"/>
    </xf>
    <xf numFmtId="3" fontId="9" fillId="0" borderId="36" xfId="1" applyNumberFormat="1" applyFont="1" applyBorder="1" applyAlignment="1">
      <alignment horizontal="right" vertical="center" wrapText="1" indent="1"/>
    </xf>
    <xf numFmtId="49" fontId="9" fillId="0" borderId="40" xfId="2" applyNumberFormat="1" applyFont="1" applyBorder="1" applyAlignment="1">
      <alignment horizontal="left" vertical="center" wrapText="1" indent="1"/>
    </xf>
    <xf numFmtId="0" fontId="9" fillId="0" borderId="41" xfId="2" applyFont="1" applyBorder="1" applyAlignment="1">
      <alignment horizontal="left" vertical="center" wrapText="1" indent="7"/>
    </xf>
    <xf numFmtId="3" fontId="9" fillId="0" borderId="42" xfId="1" applyNumberFormat="1" applyFont="1" applyBorder="1" applyAlignment="1">
      <alignment horizontal="right" vertical="center" wrapText="1" indent="1"/>
    </xf>
    <xf numFmtId="3" fontId="12" fillId="0" borderId="25" xfId="2" applyNumberFormat="1" applyFont="1" applyBorder="1" applyAlignment="1">
      <alignment horizontal="right" vertical="center" wrapText="1" indent="1"/>
    </xf>
    <xf numFmtId="3" fontId="12" fillId="0" borderId="43" xfId="2" applyNumberFormat="1" applyFont="1" applyBorder="1" applyAlignment="1" applyProtection="1">
      <alignment horizontal="right" vertical="center" wrapText="1" indent="1"/>
      <protection locked="0"/>
    </xf>
    <xf numFmtId="3" fontId="12" fillId="0" borderId="23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43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Border="1" applyAlignment="1" applyProtection="1">
      <alignment horizontal="right" vertical="center" wrapText="1" indent="1"/>
      <protection locked="0"/>
    </xf>
    <xf numFmtId="0" fontId="8" fillId="0" borderId="27" xfId="2" applyFont="1" applyBorder="1" applyAlignment="1">
      <alignment horizontal="left" vertical="center" wrapText="1" indent="1"/>
    </xf>
    <xf numFmtId="0" fontId="8" fillId="0" borderId="28" xfId="2" applyFont="1" applyBorder="1" applyAlignment="1">
      <alignment vertical="center" wrapText="1"/>
    </xf>
    <xf numFmtId="3" fontId="8" fillId="0" borderId="44" xfId="2" applyNumberFormat="1" applyFont="1" applyBorder="1" applyAlignment="1">
      <alignment horizontal="right" vertical="center" wrapText="1" indent="1"/>
    </xf>
    <xf numFmtId="164" fontId="14" fillId="0" borderId="24" xfId="2" applyNumberFormat="1" applyFont="1" applyBorder="1" applyAlignment="1">
      <alignment horizontal="center" vertical="center" wrapText="1"/>
    </xf>
    <xf numFmtId="164" fontId="8" fillId="0" borderId="44" xfId="2" applyNumberFormat="1" applyFont="1" applyBorder="1" applyAlignment="1">
      <alignment horizontal="right" vertical="center" wrapText="1" indent="1"/>
    </xf>
    <xf numFmtId="3" fontId="9" fillId="0" borderId="17" xfId="1" applyNumberFormat="1" applyFont="1" applyBorder="1" applyAlignment="1">
      <alignment horizontal="right" vertical="center" wrapText="1" indent="1"/>
    </xf>
    <xf numFmtId="0" fontId="9" fillId="0" borderId="21" xfId="2" applyFont="1" applyBorder="1" applyAlignment="1">
      <alignment horizontal="left" vertical="center" wrapText="1" indent="1"/>
    </xf>
    <xf numFmtId="3" fontId="9" fillId="0" borderId="22" xfId="1" applyNumberFormat="1" applyFont="1" applyBorder="1" applyAlignment="1">
      <alignment horizontal="right" vertical="center" wrapText="1" indent="1"/>
    </xf>
    <xf numFmtId="3" fontId="9" fillId="0" borderId="37" xfId="2" applyNumberFormat="1" applyFont="1" applyBorder="1" applyAlignment="1">
      <alignment horizontal="right" vertical="center" wrapText="1" indent="1"/>
    </xf>
    <xf numFmtId="3" fontId="14" fillId="0" borderId="19" xfId="2" applyNumberFormat="1" applyFont="1" applyBorder="1" applyAlignment="1" applyProtection="1">
      <alignment horizontal="right" vertical="center" wrapText="1" indent="1"/>
      <protection locked="0"/>
    </xf>
    <xf numFmtId="164" fontId="14" fillId="0" borderId="19" xfId="2" applyNumberFormat="1" applyFont="1" applyBorder="1" applyAlignment="1" applyProtection="1">
      <alignment horizontal="right" vertical="center" wrapText="1" indent="1"/>
      <protection locked="0"/>
    </xf>
    <xf numFmtId="3" fontId="11" fillId="0" borderId="37" xfId="0" applyNumberFormat="1" applyFont="1" applyBorder="1" applyAlignment="1">
      <alignment horizontal="right" vertical="center" wrapText="1" indent="1"/>
    </xf>
    <xf numFmtId="3" fontId="11" fillId="0" borderId="36" xfId="0" applyNumberFormat="1" applyFont="1" applyBorder="1" applyAlignment="1">
      <alignment horizontal="right" vertical="center" wrapText="1" indent="1"/>
    </xf>
    <xf numFmtId="0" fontId="9" fillId="0" borderId="10" xfId="2" applyFont="1" applyBorder="1" applyAlignment="1">
      <alignment horizontal="left" vertical="center" wrapText="1" indent="6"/>
    </xf>
    <xf numFmtId="3" fontId="9" fillId="0" borderId="17" xfId="2" applyNumberFormat="1" applyFont="1" applyBorder="1" applyAlignment="1">
      <alignment horizontal="right" vertical="center" wrapText="1" indent="1"/>
    </xf>
    <xf numFmtId="3" fontId="9" fillId="0" borderId="36" xfId="2" applyNumberFormat="1" applyFont="1" applyBorder="1" applyAlignment="1">
      <alignment horizontal="right" vertical="center" wrapText="1" indent="1"/>
    </xf>
    <xf numFmtId="0" fontId="14" fillId="0" borderId="4" xfId="2" applyFont="1" applyBorder="1" applyAlignment="1">
      <alignment horizontal="left" vertical="center" wrapText="1" indent="1"/>
    </xf>
    <xf numFmtId="3" fontId="9" fillId="0" borderId="19" xfId="2" applyNumberFormat="1" applyFont="1" applyBorder="1" applyAlignment="1">
      <alignment horizontal="right" vertical="center" wrapText="1" indent="1"/>
    </xf>
    <xf numFmtId="3" fontId="9" fillId="0" borderId="25" xfId="2" applyNumberFormat="1" applyFont="1" applyBorder="1" applyAlignment="1">
      <alignment horizontal="right" vertical="center" wrapText="1" indent="1"/>
    </xf>
    <xf numFmtId="164" fontId="12" fillId="0" borderId="45" xfId="2" applyNumberFormat="1" applyFont="1" applyBorder="1" applyAlignment="1">
      <alignment horizontal="center" vertical="center" wrapText="1"/>
    </xf>
    <xf numFmtId="3" fontId="9" fillId="0" borderId="8" xfId="2" applyNumberFormat="1" applyFont="1" applyBorder="1" applyAlignment="1">
      <alignment horizontal="right" vertical="center" wrapText="1" indent="1"/>
    </xf>
    <xf numFmtId="0" fontId="9" fillId="0" borderId="10" xfId="2" applyFont="1" applyBorder="1" applyAlignment="1">
      <alignment horizontal="left" vertical="center" wrapText="1" indent="1"/>
    </xf>
    <xf numFmtId="164" fontId="14" fillId="0" borderId="14" xfId="2" applyNumberFormat="1" applyFont="1" applyBorder="1" applyAlignment="1">
      <alignment horizontal="center" vertical="center" wrapText="1"/>
    </xf>
    <xf numFmtId="0" fontId="9" fillId="0" borderId="46" xfId="2" applyFont="1" applyBorder="1" applyAlignment="1">
      <alignment horizontal="left" vertical="center" wrapText="1" indent="1"/>
    </xf>
    <xf numFmtId="3" fontId="9" fillId="0" borderId="22" xfId="2" applyNumberFormat="1" applyFont="1" applyBorder="1" applyAlignment="1">
      <alignment horizontal="right" vertical="center" wrapText="1" indent="1"/>
    </xf>
    <xf numFmtId="164" fontId="14" fillId="0" borderId="45" xfId="2" applyNumberFormat="1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right" vertical="center" wrapText="1" indent="1"/>
    </xf>
    <xf numFmtId="3" fontId="13" fillId="0" borderId="5" xfId="0" applyNumberFormat="1" applyFont="1" applyBorder="1" applyAlignment="1">
      <alignment horizontal="right" vertical="center" wrapText="1" indent="1"/>
    </xf>
    <xf numFmtId="164" fontId="13" fillId="0" borderId="8" xfId="0" applyNumberFormat="1" applyFont="1" applyBorder="1" applyAlignment="1">
      <alignment horizontal="right" vertical="center" wrapText="1" indent="1"/>
    </xf>
    <xf numFmtId="164" fontId="13" fillId="0" borderId="5" xfId="0" applyNumberFormat="1" applyFont="1" applyBorder="1" applyAlignment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5" xfId="0" applyNumberFormat="1" applyFont="1" applyBorder="1" applyAlignment="1" applyProtection="1">
      <alignment horizontal="right" vertical="center" wrapText="1" indent="1"/>
      <protection locked="0"/>
    </xf>
    <xf numFmtId="3" fontId="15" fillId="0" borderId="8" xfId="0" quotePrefix="1" applyNumberFormat="1" applyFont="1" applyBorder="1" applyAlignment="1">
      <alignment horizontal="right" vertical="center" wrapText="1" indent="1"/>
    </xf>
    <xf numFmtId="3" fontId="15" fillId="0" borderId="5" xfId="0" quotePrefix="1" applyNumberFormat="1" applyFont="1" applyBorder="1" applyAlignment="1">
      <alignment horizontal="right" vertical="center" wrapText="1" indent="1"/>
    </xf>
    <xf numFmtId="164" fontId="15" fillId="0" borderId="8" xfId="0" quotePrefix="1" applyNumberFormat="1" applyFont="1" applyBorder="1" applyAlignment="1">
      <alignment horizontal="right" vertical="center" wrapText="1" indent="1"/>
    </xf>
    <xf numFmtId="164" fontId="15" fillId="0" borderId="5" xfId="0" quotePrefix="1" applyNumberFormat="1" applyFont="1" applyBorder="1" applyAlignment="1">
      <alignment horizontal="right" vertical="center" wrapText="1" indent="1"/>
    </xf>
    <xf numFmtId="0" fontId="13" fillId="0" borderId="27" xfId="0" applyFont="1" applyBorder="1" applyAlignment="1">
      <alignment horizontal="left" vertical="center" wrapText="1" indent="1"/>
    </xf>
    <xf numFmtId="0" fontId="15" fillId="0" borderId="28" xfId="0" applyFont="1" applyBorder="1" applyAlignment="1">
      <alignment horizontal="left" vertical="center" wrapText="1" indent="1"/>
    </xf>
    <xf numFmtId="3" fontId="1" fillId="0" borderId="0" xfId="2" applyNumberFormat="1" applyAlignment="1">
      <alignment horizontal="right" indent="1"/>
    </xf>
  </cellXfs>
  <cellStyles count="3">
    <cellStyle name="Ezres" xfId="1" builtinId="3"/>
    <cellStyle name="Normál" xfId="0" builtinId="0"/>
    <cellStyle name="Normál_KVRENMUNKA" xfId="2" xr:uid="{6EDDA2DC-9904-44C4-9C4D-129699FC4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901AC-B6D7-43C2-8509-26BA5798692A}">
  <sheetPr codeName="Munka44">
    <tabColor theme="6"/>
  </sheetPr>
  <dimension ref="A1:K160"/>
  <sheetViews>
    <sheetView tabSelected="1" view="pageLayout" zoomScaleNormal="100" zoomScaleSheetLayoutView="85" workbookViewId="0">
      <selection sqref="A1:L1"/>
    </sheetView>
  </sheetViews>
  <sheetFormatPr defaultRowHeight="15.75" x14ac:dyDescent="0.25"/>
  <cols>
    <col min="1" max="1" width="9" style="3" customWidth="1"/>
    <col min="2" max="2" width="75.83203125" style="3" customWidth="1"/>
    <col min="3" max="3" width="16.5" style="196" customWidth="1"/>
    <col min="4" max="4" width="15.5" style="196" customWidth="1"/>
    <col min="5" max="7" width="15.5" style="196" hidden="1" customWidth="1"/>
    <col min="8" max="8" width="15.5" style="196" customWidth="1"/>
    <col min="9" max="9" width="14.33203125" style="3" hidden="1" customWidth="1"/>
    <col min="10" max="10" width="12.6640625" style="3" hidden="1" customWidth="1"/>
    <col min="11" max="11" width="14.33203125" style="3" hidden="1" customWidth="1"/>
    <col min="12" max="16384" width="9.33203125" style="3"/>
  </cols>
  <sheetData>
    <row r="1" spans="1:11" ht="35.2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3" spans="1:11" ht="15.95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11" ht="15.95" customHeight="1" thickBot="1" x14ac:dyDescent="0.3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11" ht="38.1" customHeight="1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11" s="19" customFormat="1" ht="12" customHeight="1" thickBot="1" x14ac:dyDescent="0.25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11" s="26" customFormat="1" ht="12" customHeight="1" thickBot="1" x14ac:dyDescent="0.25">
      <c r="A7" s="20" t="s">
        <v>14</v>
      </c>
      <c r="B7" s="21" t="s">
        <v>15</v>
      </c>
      <c r="C7" s="16">
        <v>1136384587</v>
      </c>
      <c r="D7" s="22">
        <v>1282714675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4">
        <f t="shared" ref="H7:H38" si="0">SUM(I7:K7)</f>
        <v>1460810310</v>
      </c>
      <c r="I7" s="25">
        <f>+I8+I9+I10+I11+I12+I13</f>
        <v>1460810310</v>
      </c>
      <c r="J7" s="24">
        <f>+J8+J9+J10+J11+J12+J13</f>
        <v>0</v>
      </c>
      <c r="K7" s="24">
        <f>+K8+K9+K10+K11+K12+K13</f>
        <v>0</v>
      </c>
    </row>
    <row r="8" spans="1:11" s="26" customFormat="1" ht="12" customHeight="1" x14ac:dyDescent="0.2">
      <c r="A8" s="27" t="s">
        <v>16</v>
      </c>
      <c r="B8" s="28" t="s">
        <v>17</v>
      </c>
      <c r="C8" s="29">
        <v>228418282</v>
      </c>
      <c r="D8" s="30">
        <v>227855923</v>
      </c>
      <c r="E8" s="31">
        <v>227512539</v>
      </c>
      <c r="F8" s="32"/>
      <c r="G8" s="32"/>
      <c r="H8" s="33">
        <f>SUM(I8:K8)</f>
        <v>211161846</v>
      </c>
      <c r="I8" s="34">
        <v>211161846</v>
      </c>
      <c r="J8" s="34"/>
      <c r="K8" s="34"/>
    </row>
    <row r="9" spans="1:11" s="26" customFormat="1" ht="12" customHeight="1" x14ac:dyDescent="0.2">
      <c r="A9" s="35" t="s">
        <v>18</v>
      </c>
      <c r="B9" s="36" t="s">
        <v>19</v>
      </c>
      <c r="C9" s="37">
        <v>224090111</v>
      </c>
      <c r="D9" s="38">
        <v>227738235</v>
      </c>
      <c r="E9" s="39">
        <v>218107294</v>
      </c>
      <c r="F9" s="40"/>
      <c r="G9" s="40"/>
      <c r="H9" s="41">
        <f t="shared" si="0"/>
        <v>235351616</v>
      </c>
      <c r="I9" s="42">
        <v>235351616</v>
      </c>
      <c r="J9" s="42"/>
      <c r="K9" s="42"/>
    </row>
    <row r="10" spans="1:11" s="26" customFormat="1" ht="12" customHeight="1" x14ac:dyDescent="0.2">
      <c r="A10" s="35" t="s">
        <v>20</v>
      </c>
      <c r="B10" s="36" t="s">
        <v>21</v>
      </c>
      <c r="C10" s="37">
        <v>600182523</v>
      </c>
      <c r="D10" s="38">
        <v>662987096</v>
      </c>
      <c r="E10" s="39">
        <f>121200000+67844165+118423160+15562200+177597260+4526280+11511000+24250000+62625967</f>
        <v>603540032</v>
      </c>
      <c r="F10" s="40"/>
      <c r="G10" s="40"/>
      <c r="H10" s="41">
        <f t="shared" si="0"/>
        <v>746328051</v>
      </c>
      <c r="I10" s="42">
        <f>132342947+82528441+152850000+191583306+50232560+61299400+1796961+73694436</f>
        <v>746328051</v>
      </c>
      <c r="J10" s="42"/>
      <c r="K10" s="42"/>
    </row>
    <row r="11" spans="1:11" s="26" customFormat="1" ht="12" customHeight="1" x14ac:dyDescent="0.2">
      <c r="A11" s="35" t="s">
        <v>22</v>
      </c>
      <c r="B11" s="36" t="s">
        <v>23</v>
      </c>
      <c r="C11" s="37">
        <v>31318596</v>
      </c>
      <c r="D11" s="38">
        <v>34993847</v>
      </c>
      <c r="E11" s="39">
        <f>4412740+15262320+10629000</f>
        <v>30304060</v>
      </c>
      <c r="F11" s="40"/>
      <c r="G11" s="40"/>
      <c r="H11" s="41">
        <f t="shared" si="0"/>
        <v>33237861</v>
      </c>
      <c r="I11" s="42">
        <f>4617241+15998620+12622000</f>
        <v>33237861</v>
      </c>
      <c r="J11" s="42"/>
      <c r="K11" s="42"/>
    </row>
    <row r="12" spans="1:11" s="26" customFormat="1" ht="12" customHeight="1" x14ac:dyDescent="0.2">
      <c r="A12" s="35" t="s">
        <v>24</v>
      </c>
      <c r="B12" s="43" t="s">
        <v>25</v>
      </c>
      <c r="C12" s="37">
        <v>52375075</v>
      </c>
      <c r="D12" s="38">
        <v>129139574</v>
      </c>
      <c r="E12" s="39">
        <f>3551000+1060845+168707597+58000+128000-119824582</f>
        <v>53680860</v>
      </c>
      <c r="F12" s="40"/>
      <c r="G12" s="40"/>
      <c r="H12" s="41">
        <f t="shared" si="0"/>
        <v>234730936</v>
      </c>
      <c r="I12" s="42">
        <f>29417493+205313443</f>
        <v>234730936</v>
      </c>
      <c r="J12" s="42"/>
      <c r="K12" s="42"/>
    </row>
    <row r="13" spans="1:11" s="26" customFormat="1" ht="12" customHeight="1" thickBot="1" x14ac:dyDescent="0.25">
      <c r="A13" s="44" t="s">
        <v>26</v>
      </c>
      <c r="B13" s="45" t="s">
        <v>27</v>
      </c>
      <c r="C13" s="46"/>
      <c r="D13" s="47">
        <v>0</v>
      </c>
      <c r="E13" s="48"/>
      <c r="F13" s="49"/>
      <c r="G13" s="49"/>
      <c r="H13" s="50">
        <f t="shared" si="0"/>
        <v>0</v>
      </c>
      <c r="I13" s="51"/>
      <c r="J13" s="52"/>
      <c r="K13" s="52"/>
    </row>
    <row r="14" spans="1:11" s="26" customFormat="1" ht="12" customHeight="1" thickBot="1" x14ac:dyDescent="0.25">
      <c r="A14" s="20" t="s">
        <v>28</v>
      </c>
      <c r="B14" s="53" t="s">
        <v>29</v>
      </c>
      <c r="C14" s="54">
        <v>329344570</v>
      </c>
      <c r="D14" s="22">
        <v>270067430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4">
        <f t="shared" si="0"/>
        <v>226480756</v>
      </c>
      <c r="I14" s="25">
        <f>+I15+I16+I17+I18+I19</f>
        <v>203725813</v>
      </c>
      <c r="J14" s="24">
        <f>+J15+J16+J17+J18+J19</f>
        <v>0</v>
      </c>
      <c r="K14" s="24">
        <f>+K15+K16+K17+K18+K19</f>
        <v>22754943</v>
      </c>
    </row>
    <row r="15" spans="1:11" s="26" customFormat="1" ht="12" customHeight="1" x14ac:dyDescent="0.2">
      <c r="A15" s="27" t="s">
        <v>30</v>
      </c>
      <c r="B15" s="28" t="s">
        <v>31</v>
      </c>
      <c r="C15" s="37"/>
      <c r="D15" s="30">
        <v>0</v>
      </c>
      <c r="E15" s="55"/>
      <c r="F15" s="56"/>
      <c r="G15" s="56"/>
      <c r="H15" s="33">
        <f t="shared" si="0"/>
        <v>0</v>
      </c>
      <c r="I15" s="57"/>
      <c r="J15" s="58"/>
      <c r="K15" s="58"/>
    </row>
    <row r="16" spans="1:11" s="26" customFormat="1" ht="12" customHeight="1" x14ac:dyDescent="0.2">
      <c r="A16" s="35" t="s">
        <v>32</v>
      </c>
      <c r="B16" s="36" t="s">
        <v>33</v>
      </c>
      <c r="C16" s="37"/>
      <c r="D16" s="38">
        <v>0</v>
      </c>
      <c r="E16" s="48"/>
      <c r="F16" s="49"/>
      <c r="G16" s="49"/>
      <c r="H16" s="41">
        <f t="shared" si="0"/>
        <v>0</v>
      </c>
      <c r="I16" s="51"/>
      <c r="J16" s="52"/>
      <c r="K16" s="52"/>
    </row>
    <row r="17" spans="1:11" s="26" customFormat="1" ht="12" customHeight="1" x14ac:dyDescent="0.2">
      <c r="A17" s="35" t="s">
        <v>34</v>
      </c>
      <c r="B17" s="36" t="s">
        <v>35</v>
      </c>
      <c r="C17" s="37"/>
      <c r="D17" s="38">
        <v>0</v>
      </c>
      <c r="E17" s="48"/>
      <c r="F17" s="49"/>
      <c r="G17" s="49"/>
      <c r="H17" s="41">
        <f t="shared" si="0"/>
        <v>0</v>
      </c>
      <c r="I17" s="51"/>
      <c r="J17" s="52"/>
      <c r="K17" s="52"/>
    </row>
    <row r="18" spans="1:11" s="26" customFormat="1" ht="12" customHeight="1" x14ac:dyDescent="0.2">
      <c r="A18" s="35" t="s">
        <v>36</v>
      </c>
      <c r="B18" s="36" t="s">
        <v>37</v>
      </c>
      <c r="C18" s="37"/>
      <c r="D18" s="38">
        <v>0</v>
      </c>
      <c r="E18" s="48"/>
      <c r="F18" s="49"/>
      <c r="G18" s="49"/>
      <c r="H18" s="41">
        <f t="shared" si="0"/>
        <v>0</v>
      </c>
      <c r="I18" s="51"/>
      <c r="J18" s="52"/>
      <c r="K18" s="52"/>
    </row>
    <row r="19" spans="1:11" s="26" customFormat="1" ht="12" customHeight="1" x14ac:dyDescent="0.2">
      <c r="A19" s="35" t="s">
        <v>38</v>
      </c>
      <c r="B19" s="36" t="s">
        <v>39</v>
      </c>
      <c r="C19" s="37">
        <v>329344570</v>
      </c>
      <c r="D19" s="38">
        <v>270067430</v>
      </c>
      <c r="E19" s="39">
        <f>2285000+210000+110446000+65342000-323735435</f>
        <v>-145452435</v>
      </c>
      <c r="F19" s="40"/>
      <c r="G19" s="40">
        <v>5485000</v>
      </c>
      <c r="H19" s="41">
        <f t="shared" si="0"/>
        <v>226480756</v>
      </c>
      <c r="I19" s="59">
        <f>102792540+24250000+3975280+5670000+67037993</f>
        <v>203725813</v>
      </c>
      <c r="J19" s="42"/>
      <c r="K19" s="42">
        <v>22754943</v>
      </c>
    </row>
    <row r="20" spans="1:11" s="26" customFormat="1" ht="12" customHeight="1" thickBot="1" x14ac:dyDescent="0.25">
      <c r="A20" s="44" t="s">
        <v>40</v>
      </c>
      <c r="B20" s="45" t="s">
        <v>41</v>
      </c>
      <c r="C20" s="46">
        <v>23612212</v>
      </c>
      <c r="D20" s="47">
        <v>85930791</v>
      </c>
      <c r="E20" s="60"/>
      <c r="F20" s="61"/>
      <c r="G20" s="61"/>
      <c r="H20" s="50">
        <f t="shared" si="0"/>
        <v>67792936</v>
      </c>
      <c r="I20" s="62">
        <f>67037993</f>
        <v>67037993</v>
      </c>
      <c r="J20" s="63"/>
      <c r="K20" s="63">
        <v>754943</v>
      </c>
    </row>
    <row r="21" spans="1:11" s="26" customFormat="1" ht="12" customHeight="1" thickBot="1" x14ac:dyDescent="0.25">
      <c r="A21" s="20" t="s">
        <v>42</v>
      </c>
      <c r="B21" s="64" t="s">
        <v>43</v>
      </c>
      <c r="C21" s="54">
        <v>519310318</v>
      </c>
      <c r="D21" s="22">
        <v>93190591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4">
        <f t="shared" si="0"/>
        <v>82409566</v>
      </c>
      <c r="I21" s="25">
        <f>+I22+I23+I24+I25+I26</f>
        <v>82409566</v>
      </c>
      <c r="J21" s="24">
        <f>+J22+J23+J24+J25+J26</f>
        <v>0</v>
      </c>
      <c r="K21" s="24">
        <f>+K22+K23+K24+K25+K26</f>
        <v>0</v>
      </c>
    </row>
    <row r="22" spans="1:11" s="26" customFormat="1" ht="12" customHeight="1" x14ac:dyDescent="0.2">
      <c r="A22" s="27" t="s">
        <v>44</v>
      </c>
      <c r="B22" s="28" t="s">
        <v>45</v>
      </c>
      <c r="C22" s="37">
        <v>15690532</v>
      </c>
      <c r="D22" s="30">
        <v>19753000</v>
      </c>
      <c r="E22" s="65"/>
      <c r="F22" s="66"/>
      <c r="G22" s="66"/>
      <c r="H22" s="33">
        <f t="shared" si="0"/>
        <v>0</v>
      </c>
      <c r="I22" s="67"/>
      <c r="J22" s="68"/>
      <c r="K22" s="68"/>
    </row>
    <row r="23" spans="1:11" s="26" customFormat="1" ht="12" customHeight="1" x14ac:dyDescent="0.2">
      <c r="A23" s="35" t="s">
        <v>46</v>
      </c>
      <c r="B23" s="36" t="s">
        <v>47</v>
      </c>
      <c r="C23" s="37"/>
      <c r="D23" s="69">
        <v>0</v>
      </c>
      <c r="E23" s="39"/>
      <c r="F23" s="40"/>
      <c r="G23" s="40"/>
      <c r="H23" s="70">
        <f t="shared" si="0"/>
        <v>0</v>
      </c>
      <c r="I23" s="59"/>
      <c r="J23" s="42"/>
      <c r="K23" s="42"/>
    </row>
    <row r="24" spans="1:11" s="26" customFormat="1" ht="12" customHeight="1" x14ac:dyDescent="0.2">
      <c r="A24" s="35" t="s">
        <v>48</v>
      </c>
      <c r="B24" s="36" t="s">
        <v>49</v>
      </c>
      <c r="C24" s="37"/>
      <c r="D24" s="38">
        <v>0</v>
      </c>
      <c r="E24" s="39"/>
      <c r="F24" s="40"/>
      <c r="G24" s="40"/>
      <c r="H24" s="41">
        <f t="shared" si="0"/>
        <v>0</v>
      </c>
      <c r="I24" s="59"/>
      <c r="J24" s="42"/>
      <c r="K24" s="42"/>
    </row>
    <row r="25" spans="1:11" s="26" customFormat="1" ht="12" customHeight="1" x14ac:dyDescent="0.2">
      <c r="A25" s="35" t="s">
        <v>50</v>
      </c>
      <c r="B25" s="36" t="s">
        <v>51</v>
      </c>
      <c r="C25" s="37"/>
      <c r="D25" s="38">
        <v>0</v>
      </c>
      <c r="E25" s="39"/>
      <c r="F25" s="40"/>
      <c r="G25" s="40"/>
      <c r="H25" s="41">
        <f t="shared" si="0"/>
        <v>0</v>
      </c>
      <c r="I25" s="59"/>
      <c r="J25" s="42"/>
      <c r="K25" s="42"/>
    </row>
    <row r="26" spans="1:11" s="26" customFormat="1" ht="12" customHeight="1" x14ac:dyDescent="0.2">
      <c r="A26" s="35" t="s">
        <v>52</v>
      </c>
      <c r="B26" s="36" t="s">
        <v>53</v>
      </c>
      <c r="C26" s="37">
        <v>503619786</v>
      </c>
      <c r="D26" s="38">
        <v>73437591</v>
      </c>
      <c r="E26" s="39">
        <f>3797300-15179276</f>
        <v>-11381976</v>
      </c>
      <c r="F26" s="40"/>
      <c r="G26" s="40"/>
      <c r="H26" s="41">
        <f t="shared" si="0"/>
        <v>82409566</v>
      </c>
      <c r="I26" s="59">
        <f>5596040+25377271+3487179+47949076</f>
        <v>82409566</v>
      </c>
      <c r="J26" s="42"/>
      <c r="K26" s="42"/>
    </row>
    <row r="27" spans="1:11" s="26" customFormat="1" ht="12" customHeight="1" thickBot="1" x14ac:dyDescent="0.25">
      <c r="A27" s="44" t="s">
        <v>54</v>
      </c>
      <c r="B27" s="71" t="s">
        <v>55</v>
      </c>
      <c r="C27" s="46">
        <v>500338786</v>
      </c>
      <c r="D27" s="47">
        <v>68947847</v>
      </c>
      <c r="E27" s="60">
        <v>3797300</v>
      </c>
      <c r="F27" s="61"/>
      <c r="G27" s="61"/>
      <c r="H27" s="50">
        <f t="shared" si="0"/>
        <v>82409566</v>
      </c>
      <c r="I27" s="62">
        <f>5596040+25377271+3487179+47949076</f>
        <v>82409566</v>
      </c>
      <c r="J27" s="63"/>
      <c r="K27" s="63"/>
    </row>
    <row r="28" spans="1:11" s="26" customFormat="1" ht="12" customHeight="1" thickBot="1" x14ac:dyDescent="0.25">
      <c r="A28" s="20" t="s">
        <v>56</v>
      </c>
      <c r="B28" s="64" t="s">
        <v>57</v>
      </c>
      <c r="C28" s="54">
        <v>359172384</v>
      </c>
      <c r="D28" s="22">
        <v>462658000</v>
      </c>
      <c r="E28" s="72">
        <f>+E29+E33+E34+E35</f>
        <v>329390000</v>
      </c>
      <c r="F28" s="73">
        <f>+F29+F33+F34+F35</f>
        <v>0</v>
      </c>
      <c r="G28" s="73">
        <f>+G29+G33+G34+G35</f>
        <v>0</v>
      </c>
      <c r="H28" s="24">
        <f t="shared" si="0"/>
        <v>481500000</v>
      </c>
      <c r="I28" s="74">
        <f>+I29+I33+I34+I35</f>
        <v>481500000</v>
      </c>
      <c r="J28" s="75">
        <f>+J29+J33+J34+J35</f>
        <v>0</v>
      </c>
      <c r="K28" s="75">
        <f>+K29+K33+K34+K35</f>
        <v>0</v>
      </c>
    </row>
    <row r="29" spans="1:11" s="26" customFormat="1" ht="12" customHeight="1" x14ac:dyDescent="0.2">
      <c r="A29" s="27" t="s">
        <v>58</v>
      </c>
      <c r="B29" s="28" t="s">
        <v>59</v>
      </c>
      <c r="C29" s="37">
        <v>324804247</v>
      </c>
      <c r="D29" s="30">
        <v>415654000</v>
      </c>
      <c r="E29" s="76">
        <f>SUM(E30:E32)</f>
        <v>292830000</v>
      </c>
      <c r="F29" s="77"/>
      <c r="G29" s="77"/>
      <c r="H29" s="33">
        <f>SUM(I29:K29)</f>
        <v>430000000</v>
      </c>
      <c r="I29" s="78">
        <f>SUM(I30:I31)</f>
        <v>430000000</v>
      </c>
      <c r="J29" s="78">
        <f t="shared" ref="J29:K29" si="1">SUM(J30:J31)</f>
        <v>0</v>
      </c>
      <c r="K29" s="78">
        <f t="shared" si="1"/>
        <v>0</v>
      </c>
    </row>
    <row r="30" spans="1:11" s="26" customFormat="1" ht="12" customHeight="1" x14ac:dyDescent="0.2">
      <c r="A30" s="35" t="s">
        <v>60</v>
      </c>
      <c r="B30" s="36" t="s">
        <v>61</v>
      </c>
      <c r="C30" s="37">
        <v>71369224</v>
      </c>
      <c r="D30" s="38">
        <v>82500000</v>
      </c>
      <c r="E30" s="48">
        <f>8990000+70000000</f>
        <v>78990000</v>
      </c>
      <c r="F30" s="49"/>
      <c r="G30" s="49"/>
      <c r="H30" s="41">
        <f t="shared" ref="H30:H34" si="2">SUM(I30:K30)</f>
        <v>89000000</v>
      </c>
      <c r="I30" s="51">
        <f>80000000+9000000</f>
        <v>89000000</v>
      </c>
      <c r="J30" s="52"/>
      <c r="K30" s="52"/>
    </row>
    <row r="31" spans="1:11" s="26" customFormat="1" ht="12" customHeight="1" x14ac:dyDescent="0.2">
      <c r="A31" s="35" t="s">
        <v>62</v>
      </c>
      <c r="B31" s="79" t="s">
        <v>63</v>
      </c>
      <c r="C31" s="37">
        <v>253435023</v>
      </c>
      <c r="D31" s="38">
        <v>333154000</v>
      </c>
      <c r="E31" s="48">
        <f>203840000+10000000</f>
        <v>213840000</v>
      </c>
      <c r="F31" s="49"/>
      <c r="G31" s="49"/>
      <c r="H31" s="80">
        <f t="shared" si="2"/>
        <v>341000000</v>
      </c>
      <c r="I31" s="51">
        <f>341000000</f>
        <v>341000000</v>
      </c>
      <c r="J31" s="52"/>
      <c r="K31" s="52"/>
    </row>
    <row r="32" spans="1:11" s="26" customFormat="1" ht="12" customHeight="1" x14ac:dyDescent="0.2">
      <c r="A32" s="35" t="s">
        <v>64</v>
      </c>
      <c r="B32" s="36" t="s">
        <v>65</v>
      </c>
      <c r="C32" s="37">
        <v>119318</v>
      </c>
      <c r="D32" s="38">
        <v>0</v>
      </c>
      <c r="E32" s="39"/>
      <c r="F32" s="40"/>
      <c r="G32" s="40"/>
      <c r="H32" s="80">
        <f t="shared" si="2"/>
        <v>0</v>
      </c>
      <c r="I32" s="59"/>
      <c r="J32" s="42"/>
      <c r="K32" s="42"/>
    </row>
    <row r="33" spans="1:11" s="26" customFormat="1" ht="12" customHeight="1" x14ac:dyDescent="0.2">
      <c r="A33" s="35" t="s">
        <v>66</v>
      </c>
      <c r="B33" s="36" t="s">
        <v>67</v>
      </c>
      <c r="C33" s="37">
        <v>26806717</v>
      </c>
      <c r="D33" s="38">
        <v>31000000</v>
      </c>
      <c r="E33" s="48">
        <f>27000000</f>
        <v>27000000</v>
      </c>
      <c r="F33" s="49"/>
      <c r="G33" s="49"/>
      <c r="H33" s="80">
        <f t="shared" si="2"/>
        <v>35000000</v>
      </c>
      <c r="I33" s="51">
        <f>35000000</f>
        <v>35000000</v>
      </c>
      <c r="J33" s="52"/>
      <c r="K33" s="52"/>
    </row>
    <row r="34" spans="1:11" s="26" customFormat="1" ht="12" customHeight="1" x14ac:dyDescent="0.2">
      <c r="A34" s="35" t="s">
        <v>68</v>
      </c>
      <c r="B34" s="36" t="s">
        <v>69</v>
      </c>
      <c r="C34" s="37">
        <v>12050</v>
      </c>
      <c r="D34" s="38">
        <v>4000</v>
      </c>
      <c r="E34" s="48">
        <v>4060000</v>
      </c>
      <c r="F34" s="49"/>
      <c r="G34" s="49"/>
      <c r="H34" s="80">
        <f t="shared" si="2"/>
        <v>0</v>
      </c>
      <c r="I34" s="51"/>
      <c r="J34" s="52"/>
      <c r="K34" s="52"/>
    </row>
    <row r="35" spans="1:11" s="26" customFormat="1" ht="12" customHeight="1" thickBot="1" x14ac:dyDescent="0.25">
      <c r="A35" s="44" t="s">
        <v>70</v>
      </c>
      <c r="B35" s="71" t="s">
        <v>71</v>
      </c>
      <c r="C35" s="46">
        <v>7430052</v>
      </c>
      <c r="D35" s="47">
        <v>16000000</v>
      </c>
      <c r="E35" s="60">
        <v>5500000</v>
      </c>
      <c r="F35" s="61"/>
      <c r="G35" s="61"/>
      <c r="H35" s="50">
        <f t="shared" si="0"/>
        <v>16500000</v>
      </c>
      <c r="I35" s="62">
        <f>6000000+4000000+2500000+500000+3500000</f>
        <v>16500000</v>
      </c>
      <c r="J35" s="63"/>
      <c r="K35" s="63"/>
    </row>
    <row r="36" spans="1:11" s="26" customFormat="1" ht="12" customHeight="1" thickBot="1" x14ac:dyDescent="0.25">
      <c r="A36" s="20" t="s">
        <v>72</v>
      </c>
      <c r="B36" s="64" t="s">
        <v>73</v>
      </c>
      <c r="C36" s="54">
        <v>420500148</v>
      </c>
      <c r="D36" s="22">
        <v>416970437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4">
        <f t="shared" si="0"/>
        <v>338598578</v>
      </c>
      <c r="I36" s="25">
        <f>SUM(I37:I47)</f>
        <v>64295778</v>
      </c>
      <c r="J36" s="24">
        <f>SUM(J37:J47)</f>
        <v>8150828</v>
      </c>
      <c r="K36" s="24">
        <f>SUM(K37:K47)</f>
        <v>266151972</v>
      </c>
    </row>
    <row r="37" spans="1:11" s="26" customFormat="1" ht="12" customHeight="1" x14ac:dyDescent="0.2">
      <c r="A37" s="27" t="s">
        <v>74</v>
      </c>
      <c r="B37" s="28" t="s">
        <v>75</v>
      </c>
      <c r="C37" s="37">
        <v>14756313</v>
      </c>
      <c r="D37" s="30">
        <v>13289065</v>
      </c>
      <c r="E37" s="31">
        <f>3937000+4000000+5000000-2941522</f>
        <v>9995478</v>
      </c>
      <c r="F37" s="32"/>
      <c r="G37" s="32">
        <v>150000</v>
      </c>
      <c r="H37" s="33">
        <f t="shared" si="0"/>
        <v>17790706</v>
      </c>
      <c r="I37" s="67">
        <f>7385026+10000+10375680</f>
        <v>17770706</v>
      </c>
      <c r="J37" s="34"/>
      <c r="K37" s="34">
        <v>20000</v>
      </c>
    </row>
    <row r="38" spans="1:11" s="26" customFormat="1" ht="12" customHeight="1" x14ac:dyDescent="0.2">
      <c r="A38" s="35" t="s">
        <v>76</v>
      </c>
      <c r="B38" s="36" t="s">
        <v>77</v>
      </c>
      <c r="C38" s="37">
        <v>97064914</v>
      </c>
      <c r="D38" s="38">
        <v>77043172</v>
      </c>
      <c r="E38" s="39">
        <f>100000+12004000+160000+7128864</f>
        <v>19392864</v>
      </c>
      <c r="F38" s="40">
        <v>7533500</v>
      </c>
      <c r="G38" s="32">
        <v>68193838</v>
      </c>
      <c r="H38" s="41">
        <f t="shared" si="0"/>
        <v>78035332</v>
      </c>
      <c r="I38" s="59">
        <f>15901900+787402+500000</f>
        <v>17189302</v>
      </c>
      <c r="J38" s="42">
        <f>4000000+1241400+372638</f>
        <v>5614038</v>
      </c>
      <c r="K38" s="34">
        <f>32107480+8820000+616000+13688512</f>
        <v>55231992</v>
      </c>
    </row>
    <row r="39" spans="1:11" s="26" customFormat="1" ht="12" customHeight="1" x14ac:dyDescent="0.2">
      <c r="A39" s="35" t="s">
        <v>78</v>
      </c>
      <c r="B39" s="36" t="s">
        <v>79</v>
      </c>
      <c r="C39" s="37">
        <v>72323829</v>
      </c>
      <c r="D39" s="38">
        <v>80011504</v>
      </c>
      <c r="E39" s="39">
        <f>8458000+947000</f>
        <v>9405000</v>
      </c>
      <c r="F39" s="40">
        <v>500000</v>
      </c>
      <c r="G39" s="32">
        <v>85718340</v>
      </c>
      <c r="H39" s="41">
        <f t="shared" ref="H39:H89" si="3">SUM(I39:K39)</f>
        <v>27665692</v>
      </c>
      <c r="I39" s="59">
        <f>20000+6000000+700000+1000000+1109692</f>
        <v>8829692</v>
      </c>
      <c r="J39" s="42">
        <f>300000</f>
        <v>300000</v>
      </c>
      <c r="K39" s="34">
        <f>1586000+50000+4200000+12700000</f>
        <v>18536000</v>
      </c>
    </row>
    <row r="40" spans="1:11" s="26" customFormat="1" ht="12" customHeight="1" x14ac:dyDescent="0.2">
      <c r="A40" s="35" t="s">
        <v>80</v>
      </c>
      <c r="B40" s="36" t="s">
        <v>81</v>
      </c>
      <c r="C40" s="37">
        <v>875976</v>
      </c>
      <c r="D40" s="38">
        <v>430000</v>
      </c>
      <c r="E40" s="39">
        <f>430000</f>
        <v>430000</v>
      </c>
      <c r="F40" s="40"/>
      <c r="G40" s="32"/>
      <c r="H40" s="41">
        <f t="shared" si="3"/>
        <v>740000</v>
      </c>
      <c r="I40" s="59">
        <f>440000+300000</f>
        <v>740000</v>
      </c>
      <c r="J40" s="42"/>
      <c r="K40" s="34"/>
    </row>
    <row r="41" spans="1:11" s="26" customFormat="1" ht="12" customHeight="1" x14ac:dyDescent="0.2">
      <c r="A41" s="35" t="s">
        <v>82</v>
      </c>
      <c r="B41" s="36" t="s">
        <v>83</v>
      </c>
      <c r="C41" s="37">
        <v>170046831</v>
      </c>
      <c r="D41" s="38">
        <v>175085653</v>
      </c>
      <c r="E41" s="39"/>
      <c r="F41" s="40"/>
      <c r="G41" s="32">
        <f>182811402-4572000</f>
        <v>178239402</v>
      </c>
      <c r="H41" s="41">
        <f t="shared" si="3"/>
        <v>171606721</v>
      </c>
      <c r="I41" s="59"/>
      <c r="J41" s="42"/>
      <c r="K41" s="34">
        <f>17535396+708995+862330+152500000</f>
        <v>171606721</v>
      </c>
    </row>
    <row r="42" spans="1:11" s="26" customFormat="1" ht="12" customHeight="1" x14ac:dyDescent="0.2">
      <c r="A42" s="35" t="s">
        <v>84</v>
      </c>
      <c r="B42" s="36" t="s">
        <v>85</v>
      </c>
      <c r="C42" s="37">
        <v>42697431</v>
      </c>
      <c r="D42" s="38">
        <v>41947455</v>
      </c>
      <c r="E42" s="39">
        <f>1063000+3242000+5853000+44000+378000+600000+1350000+1408565</f>
        <v>13938565</v>
      </c>
      <c r="F42" s="40">
        <v>1283000</v>
      </c>
      <c r="G42" s="32">
        <v>31920598</v>
      </c>
      <c r="H42" s="41">
        <f t="shared" si="3"/>
        <v>31643526</v>
      </c>
      <c r="I42" s="59">
        <f>5400+1993957+12052638+212598+189000+2801434+333450+135000</f>
        <v>17723477</v>
      </c>
      <c r="J42" s="42">
        <f>1161000+335178+100612</f>
        <v>1596790</v>
      </c>
      <c r="K42" s="34">
        <f>4914377+191429+869400+1533149+4814904</f>
        <v>12323259</v>
      </c>
    </row>
    <row r="43" spans="1:11" s="26" customFormat="1" ht="12" customHeight="1" x14ac:dyDescent="0.2">
      <c r="A43" s="35" t="s">
        <v>86</v>
      </c>
      <c r="B43" s="36" t="s">
        <v>87</v>
      </c>
      <c r="C43" s="37">
        <v>17615000</v>
      </c>
      <c r="D43" s="38">
        <v>18210000</v>
      </c>
      <c r="E43" s="39"/>
      <c r="F43" s="40"/>
      <c r="G43" s="32">
        <v>21034000</v>
      </c>
      <c r="H43" s="41">
        <f t="shared" si="3"/>
        <v>8433000</v>
      </c>
      <c r="I43" s="59"/>
      <c r="J43" s="42"/>
      <c r="K43" s="34">
        <f>7614000+650000+169000</f>
        <v>8433000</v>
      </c>
    </row>
    <row r="44" spans="1:11" s="26" customFormat="1" ht="12" customHeight="1" x14ac:dyDescent="0.2">
      <c r="A44" s="35" t="s">
        <v>88</v>
      </c>
      <c r="B44" s="36" t="s">
        <v>89</v>
      </c>
      <c r="C44" s="37">
        <v>147121</v>
      </c>
      <c r="D44" s="38">
        <v>31000</v>
      </c>
      <c r="E44" s="39">
        <v>30000</v>
      </c>
      <c r="F44" s="40"/>
      <c r="G44" s="32">
        <v>10000</v>
      </c>
      <c r="H44" s="41">
        <f t="shared" si="3"/>
        <v>0</v>
      </c>
      <c r="I44" s="59"/>
      <c r="J44" s="42"/>
      <c r="K44" s="34"/>
    </row>
    <row r="45" spans="1:11" s="26" customFormat="1" ht="12" customHeight="1" x14ac:dyDescent="0.2">
      <c r="A45" s="35" t="s">
        <v>90</v>
      </c>
      <c r="B45" s="36" t="s">
        <v>91</v>
      </c>
      <c r="C45" s="37">
        <v>22033</v>
      </c>
      <c r="D45" s="38">
        <v>0</v>
      </c>
      <c r="E45" s="39"/>
      <c r="F45" s="40"/>
      <c r="G45" s="32"/>
      <c r="H45" s="41">
        <f t="shared" si="3"/>
        <v>0</v>
      </c>
      <c r="I45" s="59"/>
      <c r="J45" s="42"/>
      <c r="K45" s="34"/>
    </row>
    <row r="46" spans="1:11" s="26" customFormat="1" ht="12" customHeight="1" x14ac:dyDescent="0.2">
      <c r="A46" s="44" t="s">
        <v>92</v>
      </c>
      <c r="B46" s="71" t="s">
        <v>93</v>
      </c>
      <c r="C46" s="37">
        <v>722335</v>
      </c>
      <c r="D46" s="38">
        <v>500000</v>
      </c>
      <c r="E46" s="60">
        <f>500000</f>
        <v>500000</v>
      </c>
      <c r="F46" s="61"/>
      <c r="G46" s="32"/>
      <c r="H46" s="41">
        <f t="shared" si="3"/>
        <v>500000</v>
      </c>
      <c r="I46" s="62">
        <f>500000</f>
        <v>500000</v>
      </c>
      <c r="J46" s="63"/>
      <c r="K46" s="34"/>
    </row>
    <row r="47" spans="1:11" s="26" customFormat="1" ht="12" customHeight="1" thickBot="1" x14ac:dyDescent="0.25">
      <c r="A47" s="44" t="s">
        <v>94</v>
      </c>
      <c r="B47" s="45" t="s">
        <v>95</v>
      </c>
      <c r="C47" s="46">
        <v>4228365</v>
      </c>
      <c r="D47" s="47">
        <v>10422588</v>
      </c>
      <c r="E47" s="60">
        <f>704000</f>
        <v>704000</v>
      </c>
      <c r="F47" s="61">
        <v>100000</v>
      </c>
      <c r="G47" s="32"/>
      <c r="H47" s="50">
        <f t="shared" si="3"/>
        <v>2183601</v>
      </c>
      <c r="I47" s="62">
        <f>507601+335000+700000</f>
        <v>1542601</v>
      </c>
      <c r="J47" s="63">
        <f>640000</f>
        <v>640000</v>
      </c>
      <c r="K47" s="34">
        <v>1000</v>
      </c>
    </row>
    <row r="48" spans="1:11" s="26" customFormat="1" ht="12" customHeight="1" thickBot="1" x14ac:dyDescent="0.25">
      <c r="A48" s="20" t="s">
        <v>96</v>
      </c>
      <c r="B48" s="64" t="s">
        <v>97</v>
      </c>
      <c r="C48" s="54">
        <v>31376724</v>
      </c>
      <c r="D48" s="22">
        <v>30332500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4">
        <f t="shared" si="3"/>
        <v>22087500</v>
      </c>
      <c r="I48" s="25">
        <f>SUM(I49:I53)</f>
        <v>21787500</v>
      </c>
      <c r="J48" s="24">
        <f>SUM(J49:J53)</f>
        <v>300000</v>
      </c>
      <c r="K48" s="24">
        <f>SUM(K49:K53)</f>
        <v>0</v>
      </c>
    </row>
    <row r="49" spans="1:11" s="26" customFormat="1" ht="12" customHeight="1" x14ac:dyDescent="0.2">
      <c r="A49" s="27" t="s">
        <v>98</v>
      </c>
      <c r="B49" s="28" t="s">
        <v>99</v>
      </c>
      <c r="C49" s="37"/>
      <c r="D49" s="81">
        <v>0</v>
      </c>
      <c r="E49" s="31"/>
      <c r="F49" s="32"/>
      <c r="G49" s="32"/>
      <c r="H49" s="82">
        <f t="shared" si="3"/>
        <v>0</v>
      </c>
      <c r="I49" s="67"/>
      <c r="J49" s="34"/>
      <c r="K49" s="34"/>
    </row>
    <row r="50" spans="1:11" s="26" customFormat="1" ht="12" customHeight="1" x14ac:dyDescent="0.2">
      <c r="A50" s="35" t="s">
        <v>100</v>
      </c>
      <c r="B50" s="36" t="s">
        <v>101</v>
      </c>
      <c r="C50" s="37">
        <v>31018499</v>
      </c>
      <c r="D50" s="38">
        <v>30332500</v>
      </c>
      <c r="E50" s="39">
        <f>25179000</f>
        <v>25179000</v>
      </c>
      <c r="F50" s="40"/>
      <c r="G50" s="40"/>
      <c r="H50" s="41">
        <f t="shared" si="3"/>
        <v>21787500</v>
      </c>
      <c r="I50" s="59">
        <f>21787500</f>
        <v>21787500</v>
      </c>
      <c r="J50" s="42"/>
      <c r="K50" s="42"/>
    </row>
    <row r="51" spans="1:11" s="26" customFormat="1" ht="12" customHeight="1" x14ac:dyDescent="0.2">
      <c r="A51" s="35" t="s">
        <v>102</v>
      </c>
      <c r="B51" s="36" t="s">
        <v>103</v>
      </c>
      <c r="C51" s="37">
        <v>253700</v>
      </c>
      <c r="D51" s="38">
        <v>0</v>
      </c>
      <c r="E51" s="39"/>
      <c r="F51" s="40"/>
      <c r="G51" s="40"/>
      <c r="H51" s="41">
        <f t="shared" si="3"/>
        <v>300000</v>
      </c>
      <c r="I51" s="59"/>
      <c r="J51" s="42">
        <f>300000</f>
        <v>300000</v>
      </c>
      <c r="K51" s="42"/>
    </row>
    <row r="52" spans="1:11" s="26" customFormat="1" ht="12" customHeight="1" x14ac:dyDescent="0.2">
      <c r="A52" s="35" t="s">
        <v>104</v>
      </c>
      <c r="B52" s="36" t="s">
        <v>105</v>
      </c>
      <c r="C52" s="37">
        <v>100000</v>
      </c>
      <c r="D52" s="38">
        <v>0</v>
      </c>
      <c r="E52" s="39"/>
      <c r="F52" s="40"/>
      <c r="G52" s="40"/>
      <c r="H52" s="41">
        <f t="shared" si="3"/>
        <v>0</v>
      </c>
      <c r="I52" s="59"/>
      <c r="J52" s="42"/>
      <c r="K52" s="42"/>
    </row>
    <row r="53" spans="1:11" s="26" customFormat="1" ht="12" customHeight="1" thickBot="1" x14ac:dyDescent="0.25">
      <c r="A53" s="44" t="s">
        <v>106</v>
      </c>
      <c r="B53" s="45" t="s">
        <v>107</v>
      </c>
      <c r="C53" s="46">
        <v>4525</v>
      </c>
      <c r="D53" s="83">
        <v>0</v>
      </c>
      <c r="E53" s="60"/>
      <c r="F53" s="61"/>
      <c r="G53" s="61"/>
      <c r="H53" s="84">
        <f t="shared" si="3"/>
        <v>0</v>
      </c>
      <c r="I53" s="62"/>
      <c r="J53" s="63"/>
      <c r="K53" s="63"/>
    </row>
    <row r="54" spans="1:11" s="26" customFormat="1" ht="12" customHeight="1" thickBot="1" x14ac:dyDescent="0.25">
      <c r="A54" s="20" t="s">
        <v>108</v>
      </c>
      <c r="B54" s="64" t="s">
        <v>109</v>
      </c>
      <c r="C54" s="54">
        <v>21824515</v>
      </c>
      <c r="D54" s="85">
        <v>5224000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86">
        <f t="shared" si="3"/>
        <v>1430000</v>
      </c>
      <c r="I54" s="25">
        <f>SUM(I55:I57)</f>
        <v>1430000</v>
      </c>
      <c r="J54" s="24">
        <f>SUM(J55:J57)</f>
        <v>0</v>
      </c>
      <c r="K54" s="24">
        <f>SUM(K55:K57)</f>
        <v>0</v>
      </c>
    </row>
    <row r="55" spans="1:11" s="26" customFormat="1" ht="12" customHeight="1" x14ac:dyDescent="0.2">
      <c r="A55" s="27" t="s">
        <v>110</v>
      </c>
      <c r="B55" s="28" t="s">
        <v>111</v>
      </c>
      <c r="C55" s="37"/>
      <c r="D55" s="87">
        <v>0</v>
      </c>
      <c r="E55" s="55"/>
      <c r="F55" s="56"/>
      <c r="G55" s="56"/>
      <c r="H55" s="88">
        <f t="shared" si="3"/>
        <v>0</v>
      </c>
      <c r="I55" s="57"/>
      <c r="J55" s="58"/>
      <c r="K55" s="58"/>
    </row>
    <row r="56" spans="1:11" s="26" customFormat="1" ht="12" customHeight="1" x14ac:dyDescent="0.2">
      <c r="A56" s="35" t="s">
        <v>112</v>
      </c>
      <c r="B56" s="36" t="s">
        <v>113</v>
      </c>
      <c r="C56" s="37">
        <v>18383349</v>
      </c>
      <c r="D56" s="38">
        <v>1866000</v>
      </c>
      <c r="E56" s="39">
        <f>383000+1566000</f>
        <v>1949000</v>
      </c>
      <c r="F56" s="40"/>
      <c r="G56" s="40"/>
      <c r="H56" s="41">
        <f t="shared" si="3"/>
        <v>480000</v>
      </c>
      <c r="I56" s="59">
        <f>480000</f>
        <v>480000</v>
      </c>
      <c r="J56" s="42"/>
      <c r="K56" s="42"/>
    </row>
    <row r="57" spans="1:11" s="26" customFormat="1" ht="12" customHeight="1" x14ac:dyDescent="0.2">
      <c r="A57" s="35" t="s">
        <v>114</v>
      </c>
      <c r="B57" s="36" t="s">
        <v>115</v>
      </c>
      <c r="C57" s="37">
        <v>3441166</v>
      </c>
      <c r="D57" s="38">
        <v>3358000</v>
      </c>
      <c r="E57" s="39">
        <f>4075000+140433</f>
        <v>4215433</v>
      </c>
      <c r="F57" s="40"/>
      <c r="G57" s="40"/>
      <c r="H57" s="41">
        <f t="shared" si="3"/>
        <v>950000</v>
      </c>
      <c r="I57" s="59">
        <f>950000</f>
        <v>950000</v>
      </c>
      <c r="J57" s="42"/>
      <c r="K57" s="42"/>
    </row>
    <row r="58" spans="1:11" s="26" customFormat="1" ht="12" customHeight="1" thickBot="1" x14ac:dyDescent="0.25">
      <c r="A58" s="44" t="s">
        <v>116</v>
      </c>
      <c r="B58" s="45" t="s">
        <v>117</v>
      </c>
      <c r="C58" s="46"/>
      <c r="D58" s="47">
        <v>0</v>
      </c>
      <c r="E58" s="89"/>
      <c r="F58" s="90"/>
      <c r="G58" s="90"/>
      <c r="H58" s="50">
        <f t="shared" si="3"/>
        <v>0</v>
      </c>
      <c r="I58" s="91"/>
      <c r="J58" s="92"/>
      <c r="K58" s="92"/>
    </row>
    <row r="59" spans="1:11" s="26" customFormat="1" ht="12" customHeight="1" thickBot="1" x14ac:dyDescent="0.25">
      <c r="A59" s="20" t="s">
        <v>118</v>
      </c>
      <c r="B59" s="53" t="s">
        <v>119</v>
      </c>
      <c r="C59" s="54">
        <v>1000000</v>
      </c>
      <c r="D59" s="22">
        <v>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4">
        <f t="shared" si="3"/>
        <v>0</v>
      </c>
      <c r="I59" s="25">
        <f>SUM(I60:I62)</f>
        <v>0</v>
      </c>
      <c r="J59" s="24">
        <f>SUM(J60:J62)</f>
        <v>0</v>
      </c>
      <c r="K59" s="24">
        <f>SUM(K60:K62)</f>
        <v>0</v>
      </c>
    </row>
    <row r="60" spans="1:11" s="26" customFormat="1" ht="12" customHeight="1" x14ac:dyDescent="0.2">
      <c r="A60" s="27" t="s">
        <v>120</v>
      </c>
      <c r="B60" s="28" t="s">
        <v>121</v>
      </c>
      <c r="C60" s="37"/>
      <c r="D60" s="81">
        <v>0</v>
      </c>
      <c r="E60" s="39"/>
      <c r="F60" s="40"/>
      <c r="G60" s="40"/>
      <c r="H60" s="82">
        <f t="shared" si="3"/>
        <v>0</v>
      </c>
      <c r="I60" s="59"/>
      <c r="J60" s="42"/>
      <c r="K60" s="42"/>
    </row>
    <row r="61" spans="1:11" s="26" customFormat="1" ht="12" customHeight="1" x14ac:dyDescent="0.2">
      <c r="A61" s="35" t="s">
        <v>122</v>
      </c>
      <c r="B61" s="36" t="s">
        <v>123</v>
      </c>
      <c r="C61" s="37"/>
      <c r="D61" s="69">
        <v>0</v>
      </c>
      <c r="E61" s="39"/>
      <c r="F61" s="40"/>
      <c r="G61" s="40"/>
      <c r="H61" s="70">
        <f t="shared" si="3"/>
        <v>0</v>
      </c>
      <c r="I61" s="59"/>
      <c r="J61" s="42"/>
      <c r="K61" s="42"/>
    </row>
    <row r="62" spans="1:11" s="26" customFormat="1" ht="12" customHeight="1" x14ac:dyDescent="0.2">
      <c r="A62" s="35" t="s">
        <v>124</v>
      </c>
      <c r="B62" s="36" t="s">
        <v>125</v>
      </c>
      <c r="C62" s="37">
        <v>1000000</v>
      </c>
      <c r="D62" s="69">
        <v>0</v>
      </c>
      <c r="E62" s="39"/>
      <c r="F62" s="40"/>
      <c r="G62" s="40"/>
      <c r="H62" s="70">
        <f t="shared" si="3"/>
        <v>0</v>
      </c>
      <c r="I62" s="59"/>
      <c r="J62" s="42"/>
      <c r="K62" s="42"/>
    </row>
    <row r="63" spans="1:11" s="26" customFormat="1" ht="12" customHeight="1" thickBot="1" x14ac:dyDescent="0.25">
      <c r="A63" s="44" t="s">
        <v>126</v>
      </c>
      <c r="B63" s="45" t="s">
        <v>127</v>
      </c>
      <c r="C63" s="46"/>
      <c r="D63" s="83">
        <v>0</v>
      </c>
      <c r="E63" s="39"/>
      <c r="F63" s="40"/>
      <c r="G63" s="40"/>
      <c r="H63" s="84">
        <f t="shared" si="3"/>
        <v>0</v>
      </c>
      <c r="I63" s="59"/>
      <c r="J63" s="42"/>
      <c r="K63" s="42"/>
    </row>
    <row r="64" spans="1:11" s="26" customFormat="1" ht="12" customHeight="1" thickBot="1" x14ac:dyDescent="0.25">
      <c r="A64" s="93" t="s">
        <v>128</v>
      </c>
      <c r="B64" s="64" t="s">
        <v>129</v>
      </c>
      <c r="C64" s="85">
        <v>2818913246</v>
      </c>
      <c r="D64" s="22">
        <v>2561157633</v>
      </c>
      <c r="E64" s="72">
        <f>+E7+E14+E21+E28+E36+E48+E54+E59</f>
        <v>1391439714</v>
      </c>
      <c r="F64" s="73">
        <f>+F7+F14+F21+F28+F36+F48+F54+F59</f>
        <v>9416500</v>
      </c>
      <c r="G64" s="73">
        <f>+G7+G14+G21+G28+G36+G48+G54+G59</f>
        <v>390751178</v>
      </c>
      <c r="H64" s="24">
        <f t="shared" si="3"/>
        <v>2613316710</v>
      </c>
      <c r="I64" s="74">
        <f>+I7+I14+I21+I28+I36+I48+I54+I59</f>
        <v>2315958967</v>
      </c>
      <c r="J64" s="75">
        <f>+J7+J14+J21+J28+J36+J48+J54+J59</f>
        <v>8450828</v>
      </c>
      <c r="K64" s="75">
        <f>+K7+K14+K21+K28+K36+K48+K54+K59</f>
        <v>288906915</v>
      </c>
    </row>
    <row r="65" spans="1:11" s="26" customFormat="1" ht="12" customHeight="1" thickBot="1" x14ac:dyDescent="0.25">
      <c r="A65" s="94" t="s">
        <v>130</v>
      </c>
      <c r="B65" s="53" t="s">
        <v>131</v>
      </c>
      <c r="C65" s="85">
        <v>23966616</v>
      </c>
      <c r="D65" s="22">
        <v>212343590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4">
        <f t="shared" si="3"/>
        <v>169269106</v>
      </c>
      <c r="I65" s="25">
        <f>SUM(I66:I68)</f>
        <v>169269106</v>
      </c>
      <c r="J65" s="24">
        <f>SUM(J66:J68)</f>
        <v>0</v>
      </c>
      <c r="K65" s="24">
        <f>SUM(K66:K68)</f>
        <v>0</v>
      </c>
    </row>
    <row r="66" spans="1:11" s="26" customFormat="1" ht="12" customHeight="1" x14ac:dyDescent="0.2">
      <c r="A66" s="27" t="s">
        <v>132</v>
      </c>
      <c r="B66" s="28" t="s">
        <v>133</v>
      </c>
      <c r="C66" s="37">
        <v>23966616</v>
      </c>
      <c r="D66" s="30">
        <v>112343590</v>
      </c>
      <c r="E66" s="39">
        <v>44100000</v>
      </c>
      <c r="F66" s="40"/>
      <c r="G66" s="40"/>
      <c r="H66" s="33">
        <f t="shared" si="3"/>
        <v>69269106</v>
      </c>
      <c r="I66" s="59">
        <f>69269106</f>
        <v>69269106</v>
      </c>
      <c r="J66" s="42"/>
      <c r="K66" s="42"/>
    </row>
    <row r="67" spans="1:11" s="26" customFormat="1" ht="12" customHeight="1" x14ac:dyDescent="0.2">
      <c r="A67" s="35" t="s">
        <v>134</v>
      </c>
      <c r="B67" s="36" t="s">
        <v>135</v>
      </c>
      <c r="C67" s="37"/>
      <c r="D67" s="38">
        <v>100000000</v>
      </c>
      <c r="E67" s="39">
        <v>100000000</v>
      </c>
      <c r="F67" s="40"/>
      <c r="G67" s="40"/>
      <c r="H67" s="41">
        <f t="shared" si="3"/>
        <v>100000000</v>
      </c>
      <c r="I67" s="59">
        <v>100000000</v>
      </c>
      <c r="J67" s="42"/>
      <c r="K67" s="42"/>
    </row>
    <row r="68" spans="1:11" s="26" customFormat="1" ht="12" customHeight="1" thickBot="1" x14ac:dyDescent="0.25">
      <c r="A68" s="44" t="s">
        <v>136</v>
      </c>
      <c r="B68" s="95" t="s">
        <v>137</v>
      </c>
      <c r="C68" s="46"/>
      <c r="D68" s="83">
        <v>0</v>
      </c>
      <c r="E68" s="39"/>
      <c r="F68" s="40"/>
      <c r="G68" s="40"/>
      <c r="H68" s="84">
        <f t="shared" si="3"/>
        <v>0</v>
      </c>
      <c r="I68" s="59"/>
      <c r="J68" s="42"/>
      <c r="K68" s="42"/>
    </row>
    <row r="69" spans="1:11" s="26" customFormat="1" ht="12" customHeight="1" thickBot="1" x14ac:dyDescent="0.25">
      <c r="A69" s="94" t="s">
        <v>138</v>
      </c>
      <c r="B69" s="53" t="s">
        <v>139</v>
      </c>
      <c r="C69" s="96">
        <v>0</v>
      </c>
      <c r="D69" s="22"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4">
        <f t="shared" si="3"/>
        <v>0</v>
      </c>
      <c r="I69" s="25">
        <f>SUM(I70:I73)</f>
        <v>0</v>
      </c>
      <c r="J69" s="24">
        <f>SUM(J70:J73)</f>
        <v>0</v>
      </c>
      <c r="K69" s="24">
        <f>SUM(K70:K73)</f>
        <v>0</v>
      </c>
    </row>
    <row r="70" spans="1:11" s="26" customFormat="1" ht="12" customHeight="1" x14ac:dyDescent="0.2">
      <c r="A70" s="27" t="s">
        <v>140</v>
      </c>
      <c r="B70" s="28" t="s">
        <v>141</v>
      </c>
      <c r="C70" s="37"/>
      <c r="D70" s="81">
        <v>0</v>
      </c>
      <c r="E70" s="39"/>
      <c r="F70" s="40"/>
      <c r="G70" s="40"/>
      <c r="H70" s="82">
        <f t="shared" si="3"/>
        <v>0</v>
      </c>
      <c r="I70" s="59"/>
      <c r="J70" s="42"/>
      <c r="K70" s="42"/>
    </row>
    <row r="71" spans="1:11" s="26" customFormat="1" ht="17.25" customHeight="1" x14ac:dyDescent="0.2">
      <c r="A71" s="35" t="s">
        <v>142</v>
      </c>
      <c r="B71" s="36" t="s">
        <v>143</v>
      </c>
      <c r="C71" s="37"/>
      <c r="D71" s="69">
        <v>0</v>
      </c>
      <c r="E71" s="39"/>
      <c r="F71" s="40"/>
      <c r="G71" s="40"/>
      <c r="H71" s="70">
        <f t="shared" si="3"/>
        <v>0</v>
      </c>
      <c r="I71" s="59"/>
      <c r="J71" s="42"/>
      <c r="K71" s="42"/>
    </row>
    <row r="72" spans="1:11" s="26" customFormat="1" ht="12" customHeight="1" x14ac:dyDescent="0.2">
      <c r="A72" s="35" t="s">
        <v>144</v>
      </c>
      <c r="B72" s="36" t="s">
        <v>145</v>
      </c>
      <c r="C72" s="37"/>
      <c r="D72" s="69">
        <v>0</v>
      </c>
      <c r="E72" s="39"/>
      <c r="F72" s="40"/>
      <c r="G72" s="40"/>
      <c r="H72" s="70">
        <f t="shared" si="3"/>
        <v>0</v>
      </c>
      <c r="I72" s="59"/>
      <c r="J72" s="42"/>
      <c r="K72" s="42"/>
    </row>
    <row r="73" spans="1:11" s="26" customFormat="1" ht="12" customHeight="1" thickBot="1" x14ac:dyDescent="0.25">
      <c r="A73" s="44" t="s">
        <v>146</v>
      </c>
      <c r="B73" s="45" t="s">
        <v>147</v>
      </c>
      <c r="C73" s="46"/>
      <c r="D73" s="83">
        <v>0</v>
      </c>
      <c r="E73" s="39"/>
      <c r="F73" s="40"/>
      <c r="G73" s="40"/>
      <c r="H73" s="84">
        <f t="shared" si="3"/>
        <v>0</v>
      </c>
      <c r="I73" s="59"/>
      <c r="J73" s="42"/>
      <c r="K73" s="42"/>
    </row>
    <row r="74" spans="1:11" s="26" customFormat="1" ht="12" customHeight="1" thickBot="1" x14ac:dyDescent="0.25">
      <c r="A74" s="94" t="s">
        <v>148</v>
      </c>
      <c r="B74" s="53" t="s">
        <v>149</v>
      </c>
      <c r="C74" s="85">
        <v>292999415</v>
      </c>
      <c r="D74" s="22">
        <v>620677200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4">
        <f t="shared" si="3"/>
        <v>364667600</v>
      </c>
      <c r="I74" s="25">
        <f>SUM(I75:I76)</f>
        <v>346583469</v>
      </c>
      <c r="J74" s="24">
        <f>SUM(J75:J76)</f>
        <v>829764</v>
      </c>
      <c r="K74" s="24">
        <f>SUM(K75:K76)</f>
        <v>17254367</v>
      </c>
    </row>
    <row r="75" spans="1:11" s="26" customFormat="1" ht="12" customHeight="1" x14ac:dyDescent="0.2">
      <c r="A75" s="27" t="s">
        <v>150</v>
      </c>
      <c r="B75" s="28" t="s">
        <v>151</v>
      </c>
      <c r="C75" s="37">
        <v>292999415</v>
      </c>
      <c r="D75" s="30">
        <v>620677200</v>
      </c>
      <c r="E75" s="39">
        <v>289331423</v>
      </c>
      <c r="F75" s="40">
        <v>447404</v>
      </c>
      <c r="G75" s="40">
        <v>3220588</v>
      </c>
      <c r="H75" s="33">
        <f t="shared" si="3"/>
        <v>364667600</v>
      </c>
      <c r="I75" s="59">
        <f>346583469</f>
        <v>346583469</v>
      </c>
      <c r="J75" s="42">
        <f>829764</f>
        <v>829764</v>
      </c>
      <c r="K75" s="42">
        <f>1550858+372804+435258+1054835+13840612</f>
        <v>17254367</v>
      </c>
    </row>
    <row r="76" spans="1:11" s="26" customFormat="1" ht="12" customHeight="1" thickBot="1" x14ac:dyDescent="0.25">
      <c r="A76" s="44" t="s">
        <v>152</v>
      </c>
      <c r="B76" s="45" t="s">
        <v>153</v>
      </c>
      <c r="C76" s="46"/>
      <c r="D76" s="83">
        <v>0</v>
      </c>
      <c r="E76" s="39"/>
      <c r="F76" s="40"/>
      <c r="G76" s="40"/>
      <c r="H76" s="84">
        <f t="shared" si="3"/>
        <v>0</v>
      </c>
      <c r="I76" s="59"/>
      <c r="J76" s="42"/>
      <c r="K76" s="42"/>
    </row>
    <row r="77" spans="1:11" s="26" customFormat="1" ht="12" customHeight="1" thickBot="1" x14ac:dyDescent="0.25">
      <c r="A77" s="94" t="s">
        <v>154</v>
      </c>
      <c r="B77" s="53" t="s">
        <v>155</v>
      </c>
      <c r="C77" s="97">
        <v>38167591</v>
      </c>
      <c r="D77" s="22"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4">
        <f t="shared" si="3"/>
        <v>0</v>
      </c>
      <c r="I77" s="25">
        <f>SUM(I78:I80)</f>
        <v>0</v>
      </c>
      <c r="J77" s="24">
        <f>SUM(J78:J80)</f>
        <v>0</v>
      </c>
      <c r="K77" s="24">
        <f>SUM(K78:K80)</f>
        <v>0</v>
      </c>
    </row>
    <row r="78" spans="1:11" s="26" customFormat="1" ht="12" customHeight="1" x14ac:dyDescent="0.2">
      <c r="A78" s="27" t="s">
        <v>156</v>
      </c>
      <c r="B78" s="28" t="s">
        <v>157</v>
      </c>
      <c r="C78" s="37">
        <v>38167591</v>
      </c>
      <c r="D78" s="81">
        <v>0</v>
      </c>
      <c r="E78" s="39"/>
      <c r="F78" s="40"/>
      <c r="G78" s="40"/>
      <c r="H78" s="82">
        <f t="shared" si="3"/>
        <v>0</v>
      </c>
      <c r="I78" s="59"/>
      <c r="J78" s="42"/>
      <c r="K78" s="42"/>
    </row>
    <row r="79" spans="1:11" s="26" customFormat="1" ht="12" customHeight="1" x14ac:dyDescent="0.2">
      <c r="A79" s="35" t="s">
        <v>158</v>
      </c>
      <c r="B79" s="36" t="s">
        <v>159</v>
      </c>
      <c r="C79" s="37"/>
      <c r="D79" s="69">
        <v>0</v>
      </c>
      <c r="E79" s="39"/>
      <c r="F79" s="40"/>
      <c r="G79" s="40"/>
      <c r="H79" s="70">
        <f t="shared" si="3"/>
        <v>0</v>
      </c>
      <c r="I79" s="59"/>
      <c r="J79" s="42"/>
      <c r="K79" s="42"/>
    </row>
    <row r="80" spans="1:11" s="26" customFormat="1" ht="12" customHeight="1" thickBot="1" x14ac:dyDescent="0.25">
      <c r="A80" s="44" t="s">
        <v>160</v>
      </c>
      <c r="B80" s="45" t="s">
        <v>161</v>
      </c>
      <c r="C80" s="46"/>
      <c r="D80" s="83">
        <v>0</v>
      </c>
      <c r="E80" s="39"/>
      <c r="F80" s="40"/>
      <c r="G80" s="40"/>
      <c r="H80" s="84">
        <f t="shared" si="3"/>
        <v>0</v>
      </c>
      <c r="I80" s="59"/>
      <c r="J80" s="42"/>
      <c r="K80" s="42"/>
    </row>
    <row r="81" spans="1:11" s="26" customFormat="1" ht="12" customHeight="1" thickBot="1" x14ac:dyDescent="0.25">
      <c r="A81" s="94" t="s">
        <v>162</v>
      </c>
      <c r="B81" s="53" t="s">
        <v>163</v>
      </c>
      <c r="C81" s="96">
        <v>0</v>
      </c>
      <c r="D81" s="22"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24">
        <f t="shared" si="3"/>
        <v>0</v>
      </c>
      <c r="I81" s="25">
        <f>SUM(I82:I85)</f>
        <v>0</v>
      </c>
      <c r="J81" s="24">
        <f>SUM(J82:J85)</f>
        <v>0</v>
      </c>
      <c r="K81" s="24">
        <f>SUM(K82:K85)</f>
        <v>0</v>
      </c>
    </row>
    <row r="82" spans="1:11" s="26" customFormat="1" ht="12" customHeight="1" x14ac:dyDescent="0.2">
      <c r="A82" s="98" t="s">
        <v>164</v>
      </c>
      <c r="B82" s="28" t="s">
        <v>165</v>
      </c>
      <c r="C82" s="37"/>
      <c r="D82" s="81">
        <v>0</v>
      </c>
      <c r="E82" s="39"/>
      <c r="F82" s="40"/>
      <c r="G82" s="40"/>
      <c r="H82" s="82">
        <f t="shared" si="3"/>
        <v>0</v>
      </c>
      <c r="I82" s="59"/>
      <c r="J82" s="42"/>
      <c r="K82" s="42"/>
    </row>
    <row r="83" spans="1:11" s="26" customFormat="1" ht="12" customHeight="1" x14ac:dyDescent="0.2">
      <c r="A83" s="99" t="s">
        <v>166</v>
      </c>
      <c r="B83" s="36" t="s">
        <v>167</v>
      </c>
      <c r="C83" s="37"/>
      <c r="D83" s="69">
        <v>0</v>
      </c>
      <c r="E83" s="39"/>
      <c r="F83" s="40"/>
      <c r="G83" s="40"/>
      <c r="H83" s="70">
        <f t="shared" si="3"/>
        <v>0</v>
      </c>
      <c r="I83" s="59"/>
      <c r="J83" s="42"/>
      <c r="K83" s="42"/>
    </row>
    <row r="84" spans="1:11" s="26" customFormat="1" ht="12" customHeight="1" x14ac:dyDescent="0.2">
      <c r="A84" s="99" t="s">
        <v>168</v>
      </c>
      <c r="B84" s="36" t="s">
        <v>169</v>
      </c>
      <c r="C84" s="37"/>
      <c r="D84" s="69">
        <v>0</v>
      </c>
      <c r="E84" s="39"/>
      <c r="F84" s="40"/>
      <c r="G84" s="40"/>
      <c r="H84" s="70">
        <f t="shared" si="3"/>
        <v>0</v>
      </c>
      <c r="I84" s="59"/>
      <c r="J84" s="42"/>
      <c r="K84" s="42"/>
    </row>
    <row r="85" spans="1:11" s="26" customFormat="1" ht="12" customHeight="1" thickBot="1" x14ac:dyDescent="0.25">
      <c r="A85" s="100" t="s">
        <v>170</v>
      </c>
      <c r="B85" s="45" t="s">
        <v>171</v>
      </c>
      <c r="C85" s="46"/>
      <c r="D85" s="83">
        <v>0</v>
      </c>
      <c r="E85" s="39"/>
      <c r="F85" s="40"/>
      <c r="G85" s="40"/>
      <c r="H85" s="84">
        <f t="shared" si="3"/>
        <v>0</v>
      </c>
      <c r="I85" s="59"/>
      <c r="J85" s="42"/>
      <c r="K85" s="42"/>
    </row>
    <row r="86" spans="1:11" s="26" customFormat="1" ht="12" customHeight="1" thickBot="1" x14ac:dyDescent="0.25">
      <c r="A86" s="94" t="s">
        <v>172</v>
      </c>
      <c r="B86" s="53" t="s">
        <v>173</v>
      </c>
      <c r="C86" s="101"/>
      <c r="D86" s="22">
        <v>0</v>
      </c>
      <c r="E86" s="102"/>
      <c r="F86" s="103"/>
      <c r="G86" s="103"/>
      <c r="H86" s="24">
        <f t="shared" si="3"/>
        <v>0</v>
      </c>
      <c r="I86" s="104"/>
      <c r="J86" s="105"/>
      <c r="K86" s="105"/>
    </row>
    <row r="87" spans="1:11" s="26" customFormat="1" ht="12" customHeight="1" thickBot="1" x14ac:dyDescent="0.25">
      <c r="A87" s="94" t="s">
        <v>174</v>
      </c>
      <c r="B87" s="53" t="s">
        <v>175</v>
      </c>
      <c r="C87" s="101"/>
      <c r="D87" s="22">
        <v>0</v>
      </c>
      <c r="E87" s="102"/>
      <c r="F87" s="103"/>
      <c r="G87" s="103"/>
      <c r="H87" s="24">
        <f t="shared" si="3"/>
        <v>0</v>
      </c>
      <c r="I87" s="104"/>
      <c r="J87" s="105"/>
      <c r="K87" s="105"/>
    </row>
    <row r="88" spans="1:11" s="26" customFormat="1" ht="12" customHeight="1" thickBot="1" x14ac:dyDescent="0.25">
      <c r="A88" s="94" t="s">
        <v>176</v>
      </c>
      <c r="B88" s="106" t="s">
        <v>177</v>
      </c>
      <c r="C88" s="85">
        <v>355133622</v>
      </c>
      <c r="D88" s="22">
        <v>833020790</v>
      </c>
      <c r="E88" s="72">
        <f>+E65+E69+E74+E77+E81+E87+E86</f>
        <v>433431423</v>
      </c>
      <c r="F88" s="73">
        <f>+F65+F69+F74+F77+F81+F87+F86</f>
        <v>447404</v>
      </c>
      <c r="G88" s="73">
        <f>+G65+G69+G74+G77+G81+G87+G86</f>
        <v>3220588</v>
      </c>
      <c r="H88" s="24">
        <f t="shared" si="3"/>
        <v>533936706</v>
      </c>
      <c r="I88" s="74">
        <f>+I65+I69+I74+I77+I81+I87+I86</f>
        <v>515852575</v>
      </c>
      <c r="J88" s="75">
        <f>+J65+J69+J74+J77+J81+J87+J86</f>
        <v>829764</v>
      </c>
      <c r="K88" s="75">
        <f>+K65+K69+K74+K77+K81+K87+K86</f>
        <v>17254367</v>
      </c>
    </row>
    <row r="89" spans="1:11" s="26" customFormat="1" ht="12" customHeight="1" thickBot="1" x14ac:dyDescent="0.25">
      <c r="A89" s="107" t="s">
        <v>178</v>
      </c>
      <c r="B89" s="108" t="s">
        <v>179</v>
      </c>
      <c r="C89" s="85">
        <v>3174046868</v>
      </c>
      <c r="D89" s="22">
        <v>3394178423</v>
      </c>
      <c r="E89" s="72">
        <f>+E64+E88</f>
        <v>1824871137</v>
      </c>
      <c r="F89" s="73">
        <f>+F64+F88</f>
        <v>9863904</v>
      </c>
      <c r="G89" s="73">
        <f>+G64+G88</f>
        <v>393971766</v>
      </c>
      <c r="H89" s="24">
        <f t="shared" si="3"/>
        <v>3147253416</v>
      </c>
      <c r="I89" s="74">
        <f>+I64+I88</f>
        <v>2831811542</v>
      </c>
      <c r="J89" s="75">
        <f>+J64+J88</f>
        <v>9280592</v>
      </c>
      <c r="K89" s="75">
        <f>+K64+K88</f>
        <v>306161282</v>
      </c>
    </row>
    <row r="90" spans="1:11" s="26" customFormat="1" ht="12" customHeight="1" x14ac:dyDescent="0.2">
      <c r="A90" s="109"/>
      <c r="B90" s="110"/>
      <c r="C90" s="111"/>
      <c r="D90" s="112"/>
      <c r="E90" s="113"/>
      <c r="F90" s="113"/>
      <c r="G90" s="113"/>
      <c r="H90" s="114"/>
    </row>
    <row r="91" spans="1:11" s="26" customFormat="1" ht="12" customHeight="1" x14ac:dyDescent="0.2">
      <c r="A91" s="4" t="s">
        <v>180</v>
      </c>
      <c r="B91" s="4"/>
      <c r="C91" s="4"/>
      <c r="D91" s="4"/>
      <c r="E91" s="4"/>
      <c r="F91" s="4"/>
      <c r="G91" s="4"/>
      <c r="H91" s="4"/>
    </row>
    <row r="92" spans="1:11" s="26" customFormat="1" ht="12" customHeight="1" thickBot="1" x14ac:dyDescent="0.25">
      <c r="A92" s="115" t="s">
        <v>181</v>
      </c>
      <c r="B92" s="115"/>
      <c r="C92" s="116"/>
      <c r="D92" s="6"/>
      <c r="E92" s="6"/>
      <c r="F92" s="6"/>
      <c r="G92" s="6"/>
      <c r="H92" s="117" t="str">
        <f>H4</f>
        <v>Forintban!</v>
      </c>
    </row>
    <row r="93" spans="1:11" s="26" customFormat="1" ht="36.75" customHeight="1" thickBot="1" x14ac:dyDescent="0.25">
      <c r="A93" s="9" t="s">
        <v>182</v>
      </c>
      <c r="B93" s="118" t="s">
        <v>183</v>
      </c>
      <c r="C93" s="11" t="s">
        <v>6</v>
      </c>
      <c r="D93" s="11" t="s">
        <v>7</v>
      </c>
      <c r="E93" s="12"/>
      <c r="F93" s="12"/>
      <c r="G93" s="12"/>
      <c r="H93" s="13" t="s">
        <v>8</v>
      </c>
    </row>
    <row r="94" spans="1:11" s="26" customFormat="1" ht="12" customHeight="1" thickBot="1" x14ac:dyDescent="0.25">
      <c r="A94" s="14" t="s">
        <v>9</v>
      </c>
      <c r="B94" s="119" t="s">
        <v>10</v>
      </c>
      <c r="C94" s="85" t="s">
        <v>11</v>
      </c>
      <c r="D94" s="120" t="s">
        <v>12</v>
      </c>
      <c r="E94" s="17"/>
      <c r="F94" s="17"/>
      <c r="G94" s="17"/>
      <c r="H94" s="18" t="s">
        <v>13</v>
      </c>
    </row>
    <row r="95" spans="1:11" s="26" customFormat="1" ht="15" customHeight="1" thickBot="1" x14ac:dyDescent="0.25">
      <c r="A95" s="121" t="s">
        <v>14</v>
      </c>
      <c r="B95" s="122" t="s">
        <v>184</v>
      </c>
      <c r="C95" s="85">
        <v>2320236612</v>
      </c>
      <c r="D95" s="23">
        <v>2530082018</v>
      </c>
      <c r="E95" s="123">
        <f>+E96+E97+E98+E99+E100+E113</f>
        <v>336688965</v>
      </c>
      <c r="F95" s="18">
        <f>+F96+F97+F98+F99+F100+F113</f>
        <v>223822850</v>
      </c>
      <c r="G95" s="85">
        <f>G96+G97+G98+G99+G100+G113</f>
        <v>1388014694</v>
      </c>
      <c r="H95" s="124">
        <f t="shared" ref="H95:H156" si="4">SUM(I95:K95)</f>
        <v>2560230226</v>
      </c>
      <c r="I95" s="125">
        <f>+I96+I97+I98+I99+I100+I113</f>
        <v>729611526</v>
      </c>
      <c r="J95" s="126">
        <f>+J96+J97+J98+J99+J100+J113</f>
        <v>223670940</v>
      </c>
      <c r="K95" s="86">
        <f>K96+K97+K98+K99+K100+K113</f>
        <v>1606947760</v>
      </c>
    </row>
    <row r="96" spans="1:11" s="26" customFormat="1" ht="12.95" customHeight="1" x14ac:dyDescent="0.2">
      <c r="A96" s="127" t="s">
        <v>16</v>
      </c>
      <c r="B96" s="128" t="s">
        <v>185</v>
      </c>
      <c r="C96" s="129">
        <v>1063192965</v>
      </c>
      <c r="D96" s="130">
        <v>1000086849</v>
      </c>
      <c r="E96" s="131">
        <f>25364000+485000+6010000+3749000+165142000+48000+105000-275033584+150179</f>
        <v>-73980405</v>
      </c>
      <c r="F96" s="132">
        <v>119212000</v>
      </c>
      <c r="G96" s="132">
        <v>659195571</v>
      </c>
      <c r="H96" s="133">
        <f t="shared" si="4"/>
        <v>1055210315</v>
      </c>
      <c r="I96" s="134">
        <f>23173251+2787126+1407675+14384916+61829+2528076+5742073</f>
        <v>50084946</v>
      </c>
      <c r="J96" s="135">
        <f>147375885+935085+4069918</f>
        <v>152380888</v>
      </c>
      <c r="K96" s="135">
        <f>60512486+64039486+48091292+208655734+471445483</f>
        <v>852744481</v>
      </c>
    </row>
    <row r="97" spans="1:11" ht="16.5" customHeight="1" x14ac:dyDescent="0.25">
      <c r="A97" s="35" t="s">
        <v>18</v>
      </c>
      <c r="B97" s="136" t="s">
        <v>186</v>
      </c>
      <c r="C97" s="137">
        <v>223000766</v>
      </c>
      <c r="D97" s="138">
        <v>210209195</v>
      </c>
      <c r="E97" s="39">
        <f>5239000+143000+1233000+14000+1652000+19299000+10000+23000-28480392-1528915</f>
        <v>-2396307</v>
      </c>
      <c r="F97" s="40">
        <v>28323500</v>
      </c>
      <c r="G97" s="40">
        <v>154830861</v>
      </c>
      <c r="H97" s="133">
        <f t="shared" si="4"/>
        <v>219874360</v>
      </c>
      <c r="I97" s="59">
        <f>4364055+1409889+7817+2684650+14227+10944+444000+1007723</f>
        <v>9943305</v>
      </c>
      <c r="J97" s="42">
        <f>30406649+133681+815187</f>
        <v>31355517</v>
      </c>
      <c r="K97" s="42">
        <f>13261042+12834203+9499320+44850807+98130166</f>
        <v>178575538</v>
      </c>
    </row>
    <row r="98" spans="1:11" x14ac:dyDescent="0.25">
      <c r="A98" s="35" t="s">
        <v>20</v>
      </c>
      <c r="B98" s="136" t="s">
        <v>187</v>
      </c>
      <c r="C98" s="139">
        <v>840414038</v>
      </c>
      <c r="D98" s="138">
        <v>907885170</v>
      </c>
      <c r="E98" s="60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61">
        <v>52037350</v>
      </c>
      <c r="G98" s="40">
        <v>573988262</v>
      </c>
      <c r="H98" s="133">
        <f>SUM(I98:K98)</f>
        <v>910925583</v>
      </c>
      <c r="I98" s="62">
        <f>415496+34588831+4192823+96000+889000+13277327+313996+3082677+698500+16688593+835000+27068590+825500+43854655+45600000+4500000+20525292+45669+157480+54851+3760587+437750+7125983+1438017+300000+49047304+2354100+10000+4070204+259082+8850000</f>
        <v>295363307</v>
      </c>
      <c r="J98" s="63">
        <f>38780508+150000+369027+635000</f>
        <v>39934535</v>
      </c>
      <c r="K98" s="42">
        <f>229985778+15749737+50789082+80145873+198957271</f>
        <v>575627741</v>
      </c>
    </row>
    <row r="99" spans="1:11" s="19" customFormat="1" ht="12" customHeight="1" x14ac:dyDescent="0.2">
      <c r="A99" s="35" t="s">
        <v>22</v>
      </c>
      <c r="B99" s="140" t="s">
        <v>188</v>
      </c>
      <c r="C99" s="137">
        <v>75302178</v>
      </c>
      <c r="D99" s="138">
        <v>162784000</v>
      </c>
      <c r="E99" s="60">
        <f>70980000-5080000-2000000</f>
        <v>63900000</v>
      </c>
      <c r="F99" s="61">
        <v>24250000</v>
      </c>
      <c r="G99" s="61"/>
      <c r="H99" s="133">
        <f t="shared" ref="H99:H115" si="5">SUM(I99:K99)</f>
        <v>75850000</v>
      </c>
      <c r="I99" s="62">
        <f>24250000+48100000+3500000</f>
        <v>75850000</v>
      </c>
      <c r="J99" s="63"/>
      <c r="K99" s="63"/>
    </row>
    <row r="100" spans="1:11" ht="12" customHeight="1" x14ac:dyDescent="0.25">
      <c r="A100" s="35" t="s">
        <v>189</v>
      </c>
      <c r="B100" s="141" t="s">
        <v>190</v>
      </c>
      <c r="C100" s="137">
        <v>118326665</v>
      </c>
      <c r="D100" s="138">
        <v>163812363</v>
      </c>
      <c r="E100" s="60">
        <f>SUM(E101:E112)</f>
        <v>76126000</v>
      </c>
      <c r="F100" s="61">
        <f>SUM(F101:F112)</f>
        <v>0</v>
      </c>
      <c r="G100" s="61"/>
      <c r="H100" s="133">
        <f t="shared" si="5"/>
        <v>220559003</v>
      </c>
      <c r="I100" s="62">
        <f>SUM(I101:I112)</f>
        <v>220559003</v>
      </c>
      <c r="J100" s="62">
        <f t="shared" ref="J100" si="6">SUM(J101:J112)</f>
        <v>0</v>
      </c>
      <c r="K100" s="63"/>
    </row>
    <row r="101" spans="1:11" ht="12" customHeight="1" x14ac:dyDescent="0.25">
      <c r="A101" s="35" t="s">
        <v>26</v>
      </c>
      <c r="B101" s="136" t="s">
        <v>191</v>
      </c>
      <c r="C101" s="139">
        <v>10168527</v>
      </c>
      <c r="D101" s="138">
        <v>5258498</v>
      </c>
      <c r="E101" s="60"/>
      <c r="F101" s="61"/>
      <c r="G101" s="61"/>
      <c r="H101" s="133">
        <f t="shared" si="5"/>
        <v>100000</v>
      </c>
      <c r="I101" s="62">
        <v>100000</v>
      </c>
      <c r="J101" s="63"/>
      <c r="K101" s="63"/>
    </row>
    <row r="102" spans="1:11" ht="12" customHeight="1" x14ac:dyDescent="0.25">
      <c r="A102" s="35" t="s">
        <v>192</v>
      </c>
      <c r="B102" s="142" t="s">
        <v>193</v>
      </c>
      <c r="C102" s="139"/>
      <c r="D102" s="138">
        <v>0</v>
      </c>
      <c r="E102" s="60"/>
      <c r="F102" s="61"/>
      <c r="G102" s="61"/>
      <c r="H102" s="133">
        <f t="shared" si="5"/>
        <v>0</v>
      </c>
      <c r="I102" s="62"/>
      <c r="J102" s="63"/>
      <c r="K102" s="63"/>
    </row>
    <row r="103" spans="1:11" ht="12" customHeight="1" x14ac:dyDescent="0.25">
      <c r="A103" s="35" t="s">
        <v>194</v>
      </c>
      <c r="B103" s="142" t="s">
        <v>195</v>
      </c>
      <c r="C103" s="139"/>
      <c r="D103" s="138">
        <v>159000</v>
      </c>
      <c r="E103" s="60"/>
      <c r="F103" s="61"/>
      <c r="G103" s="61"/>
      <c r="H103" s="133">
        <f t="shared" si="5"/>
        <v>0</v>
      </c>
      <c r="I103" s="62"/>
      <c r="J103" s="63"/>
      <c r="K103" s="63"/>
    </row>
    <row r="104" spans="1:11" ht="12" customHeight="1" x14ac:dyDescent="0.25">
      <c r="A104" s="35" t="s">
        <v>196</v>
      </c>
      <c r="B104" s="143" t="s">
        <v>197</v>
      </c>
      <c r="C104" s="144"/>
      <c r="D104" s="138">
        <v>0</v>
      </c>
      <c r="E104" s="60"/>
      <c r="F104" s="61"/>
      <c r="G104" s="61"/>
      <c r="H104" s="133">
        <f t="shared" si="5"/>
        <v>0</v>
      </c>
      <c r="I104" s="62"/>
      <c r="J104" s="63"/>
      <c r="K104" s="63"/>
    </row>
    <row r="105" spans="1:11" ht="12" customHeight="1" x14ac:dyDescent="0.25">
      <c r="A105" s="35" t="s">
        <v>198</v>
      </c>
      <c r="B105" s="145" t="s">
        <v>199</v>
      </c>
      <c r="C105" s="139"/>
      <c r="D105" s="138">
        <v>0</v>
      </c>
      <c r="E105" s="60"/>
      <c r="F105" s="61"/>
      <c r="G105" s="61"/>
      <c r="H105" s="133">
        <f t="shared" si="5"/>
        <v>0</v>
      </c>
      <c r="I105" s="62"/>
      <c r="J105" s="63"/>
      <c r="K105" s="63"/>
    </row>
    <row r="106" spans="1:11" ht="12" customHeight="1" x14ac:dyDescent="0.25">
      <c r="A106" s="35" t="s">
        <v>200</v>
      </c>
      <c r="B106" s="145" t="s">
        <v>201</v>
      </c>
      <c r="C106" s="139"/>
      <c r="D106" s="138">
        <v>0</v>
      </c>
      <c r="E106" s="60"/>
      <c r="F106" s="61"/>
      <c r="G106" s="61"/>
      <c r="H106" s="133">
        <f t="shared" si="5"/>
        <v>0</v>
      </c>
      <c r="I106" s="62"/>
      <c r="J106" s="63"/>
      <c r="K106" s="63"/>
    </row>
    <row r="107" spans="1:11" ht="12" customHeight="1" x14ac:dyDescent="0.25">
      <c r="A107" s="35" t="s">
        <v>202</v>
      </c>
      <c r="B107" s="143" t="s">
        <v>203</v>
      </c>
      <c r="C107" s="146">
        <v>785000</v>
      </c>
      <c r="D107" s="138">
        <v>660000</v>
      </c>
      <c r="E107" s="60"/>
      <c r="F107" s="61"/>
      <c r="G107" s="61"/>
      <c r="H107" s="133">
        <f t="shared" si="5"/>
        <v>523000</v>
      </c>
      <c r="I107" s="62">
        <f>523000</f>
        <v>523000</v>
      </c>
      <c r="J107" s="63"/>
      <c r="K107" s="63"/>
    </row>
    <row r="108" spans="1:11" ht="12" customHeight="1" x14ac:dyDescent="0.25">
      <c r="A108" s="35" t="s">
        <v>204</v>
      </c>
      <c r="B108" s="143" t="s">
        <v>205</v>
      </c>
      <c r="C108" s="144"/>
      <c r="D108" s="138">
        <v>0</v>
      </c>
      <c r="E108" s="60"/>
      <c r="F108" s="61"/>
      <c r="G108" s="61"/>
      <c r="H108" s="133">
        <f t="shared" si="5"/>
        <v>0</v>
      </c>
      <c r="I108" s="62"/>
      <c r="J108" s="63"/>
      <c r="K108" s="63"/>
    </row>
    <row r="109" spans="1:11" ht="12" customHeight="1" x14ac:dyDescent="0.25">
      <c r="A109" s="35" t="s">
        <v>206</v>
      </c>
      <c r="B109" s="145" t="s">
        <v>207</v>
      </c>
      <c r="C109" s="146"/>
      <c r="D109" s="138">
        <v>0</v>
      </c>
      <c r="E109" s="60"/>
      <c r="F109" s="61"/>
      <c r="G109" s="61"/>
      <c r="H109" s="133">
        <f t="shared" si="5"/>
        <v>0</v>
      </c>
      <c r="I109" s="62"/>
      <c r="J109" s="63"/>
      <c r="K109" s="63"/>
    </row>
    <row r="110" spans="1:11" ht="12" customHeight="1" x14ac:dyDescent="0.25">
      <c r="A110" s="147" t="s">
        <v>208</v>
      </c>
      <c r="B110" s="142" t="s">
        <v>209</v>
      </c>
      <c r="C110" s="146"/>
      <c r="D110" s="138">
        <v>0</v>
      </c>
      <c r="E110" s="60"/>
      <c r="F110" s="61"/>
      <c r="G110" s="61"/>
      <c r="H110" s="133">
        <f t="shared" si="5"/>
        <v>0</v>
      </c>
      <c r="I110" s="62"/>
      <c r="J110" s="63"/>
      <c r="K110" s="63"/>
    </row>
    <row r="111" spans="1:11" ht="12" customHeight="1" x14ac:dyDescent="0.25">
      <c r="A111" s="35" t="s">
        <v>210</v>
      </c>
      <c r="B111" s="142" t="s">
        <v>211</v>
      </c>
      <c r="C111" s="146"/>
      <c r="D111" s="138">
        <v>0</v>
      </c>
      <c r="E111" s="60"/>
      <c r="F111" s="61"/>
      <c r="G111" s="61"/>
      <c r="H111" s="133">
        <f t="shared" si="5"/>
        <v>0</v>
      </c>
      <c r="I111" s="62"/>
      <c r="J111" s="63"/>
      <c r="K111" s="63"/>
    </row>
    <row r="112" spans="1:11" ht="12" customHeight="1" x14ac:dyDescent="0.25">
      <c r="A112" s="44" t="s">
        <v>212</v>
      </c>
      <c r="B112" s="142" t="s">
        <v>213</v>
      </c>
      <c r="C112" s="146">
        <v>107373138</v>
      </c>
      <c r="D112" s="138">
        <v>157734865</v>
      </c>
      <c r="E112" s="39">
        <f>536000+11389000+8562000+16678000+6401000+32560000</f>
        <v>76126000</v>
      </c>
      <c r="F112" s="40"/>
      <c r="G112" s="61"/>
      <c r="H112" s="133">
        <f t="shared" si="5"/>
        <v>219936003</v>
      </c>
      <c r="I112" s="59">
        <f>1000000+47869145+6604733+15489215+46984511+23326783+69312000+7332000+1437616+580000</f>
        <v>219936003</v>
      </c>
      <c r="J112" s="42"/>
      <c r="K112" s="63"/>
    </row>
    <row r="113" spans="1:11" ht="12" customHeight="1" x14ac:dyDescent="0.25">
      <c r="A113" s="35" t="s">
        <v>214</v>
      </c>
      <c r="B113" s="140" t="s">
        <v>215</v>
      </c>
      <c r="C113" s="148"/>
      <c r="D113" s="138">
        <v>85304441</v>
      </c>
      <c r="E113" s="39">
        <f>E114+E115</f>
        <v>96195254</v>
      </c>
      <c r="F113" s="40"/>
      <c r="G113" s="40">
        <f>G114+G115</f>
        <v>0</v>
      </c>
      <c r="H113" s="133">
        <f t="shared" si="5"/>
        <v>77810965</v>
      </c>
      <c r="I113" s="59">
        <f>SUM(I114:I115)</f>
        <v>77810965</v>
      </c>
      <c r="J113" s="59">
        <f t="shared" ref="J113" si="7">SUM(J114:J115)</f>
        <v>0</v>
      </c>
      <c r="K113" s="42"/>
    </row>
    <row r="114" spans="1:11" ht="12" customHeight="1" x14ac:dyDescent="0.25">
      <c r="A114" s="35" t="s">
        <v>216</v>
      </c>
      <c r="B114" s="136" t="s">
        <v>217</v>
      </c>
      <c r="C114" s="149"/>
      <c r="D114" s="138">
        <v>4171554</v>
      </c>
      <c r="E114" s="60">
        <f>20000000+1656508-26939462</f>
        <v>-5282954</v>
      </c>
      <c r="F114" s="61"/>
      <c r="G114" s="40"/>
      <c r="H114" s="133">
        <f t="shared" si="5"/>
        <v>14420000</v>
      </c>
      <c r="I114" s="62">
        <f>15000000-580000</f>
        <v>14420000</v>
      </c>
      <c r="J114" s="63"/>
      <c r="K114" s="42"/>
    </row>
    <row r="115" spans="1:11" ht="12" customHeight="1" thickBot="1" x14ac:dyDescent="0.3">
      <c r="A115" s="150" t="s">
        <v>218</v>
      </c>
      <c r="B115" s="151" t="s">
        <v>219</v>
      </c>
      <c r="C115" s="152"/>
      <c r="D115" s="153">
        <v>81132887</v>
      </c>
      <c r="E115" s="154">
        <f>110613300+500000-3261000-6374092</f>
        <v>101478208</v>
      </c>
      <c r="F115" s="155"/>
      <c r="G115" s="155"/>
      <c r="H115" s="133">
        <f t="shared" si="5"/>
        <v>63390965</v>
      </c>
      <c r="I115" s="156">
        <f>63390965</f>
        <v>63390965</v>
      </c>
      <c r="J115" s="157"/>
      <c r="K115" s="157"/>
    </row>
    <row r="116" spans="1:11" ht="12" customHeight="1" thickBot="1" x14ac:dyDescent="0.3">
      <c r="A116" s="158" t="s">
        <v>28</v>
      </c>
      <c r="B116" s="159" t="s">
        <v>220</v>
      </c>
      <c r="C116" s="85">
        <v>194808124</v>
      </c>
      <c r="D116" s="23">
        <v>717442110</v>
      </c>
      <c r="E116" s="23">
        <f>+E117+E119+E121</f>
        <v>132599368</v>
      </c>
      <c r="F116" s="22">
        <f>+F117+F119+F121</f>
        <v>1901000</v>
      </c>
      <c r="G116" s="160">
        <f>+G117+G119+G121</f>
        <v>9272287</v>
      </c>
      <c r="H116" s="161">
        <f t="shared" si="4"/>
        <v>428166358</v>
      </c>
      <c r="I116" s="25">
        <f>+I117+I119+I121</f>
        <v>404630354</v>
      </c>
      <c r="J116" s="24">
        <f>+J117+J119+J121</f>
        <v>3585917</v>
      </c>
      <c r="K116" s="162">
        <f>+K117+K119+K121</f>
        <v>19950087</v>
      </c>
    </row>
    <row r="117" spans="1:11" ht="12" customHeight="1" x14ac:dyDescent="0.25">
      <c r="A117" s="27" t="s">
        <v>30</v>
      </c>
      <c r="B117" s="136" t="s">
        <v>221</v>
      </c>
      <c r="C117" s="163">
        <v>41111560</v>
      </c>
      <c r="D117" s="130">
        <v>374710583</v>
      </c>
      <c r="E117" s="31">
        <f>6621000+2963001+787402+10624171+3081125+300001+529000+1654000+447000+2237000+90200+6604000+301000+204000-18155486-25581571</f>
        <v>-7294157</v>
      </c>
      <c r="F117" s="32">
        <v>1901000</v>
      </c>
      <c r="G117" s="32">
        <v>8772287</v>
      </c>
      <c r="H117" s="133">
        <f t="shared" si="4"/>
        <v>294933751</v>
      </c>
      <c r="I117" s="67">
        <f>229989520+300000+13809000+835610+12076323+1270000+359410+4508500+2505001+5000+6704583</f>
        <v>272362947</v>
      </c>
      <c r="J117" s="34">
        <f>3355917+230000</f>
        <v>3585917</v>
      </c>
      <c r="K117" s="34">
        <f>506050+641350+1986214+1926590+13924683</f>
        <v>18984887</v>
      </c>
    </row>
    <row r="118" spans="1:11" x14ac:dyDescent="0.25">
      <c r="A118" s="27" t="s">
        <v>32</v>
      </c>
      <c r="B118" s="164" t="s">
        <v>222</v>
      </c>
      <c r="C118" s="165"/>
      <c r="D118" s="138">
        <v>295105824</v>
      </c>
      <c r="E118" s="31">
        <f>14492698-14128084</f>
        <v>364614</v>
      </c>
      <c r="F118" s="32"/>
      <c r="G118" s="32"/>
      <c r="H118" s="133">
        <f t="shared" si="4"/>
        <v>218382567</v>
      </c>
      <c r="I118" s="67">
        <f>156693000+42191010+12076323+6704583</f>
        <v>217664916</v>
      </c>
      <c r="J118" s="34"/>
      <c r="K118" s="34">
        <v>717651</v>
      </c>
    </row>
    <row r="119" spans="1:11" ht="12" customHeight="1" x14ac:dyDescent="0.25">
      <c r="A119" s="27" t="s">
        <v>34</v>
      </c>
      <c r="B119" s="164" t="s">
        <v>223</v>
      </c>
      <c r="C119" s="146">
        <v>140483298</v>
      </c>
      <c r="D119" s="138">
        <v>276110806</v>
      </c>
      <c r="E119" s="39">
        <f>53340000+21000000+1513000+2996000+809000+9333667+7750358</f>
        <v>96742025</v>
      </c>
      <c r="F119" s="40"/>
      <c r="G119" s="40">
        <v>500000</v>
      </c>
      <c r="H119" s="133">
        <f t="shared" si="4"/>
        <v>106313501</v>
      </c>
      <c r="I119" s="59">
        <f>9517731+51474577+42450993+1905000</f>
        <v>105348301</v>
      </c>
      <c r="J119" s="42"/>
      <c r="K119" s="42">
        <v>965200</v>
      </c>
    </row>
    <row r="120" spans="1:11" ht="12" customHeight="1" x14ac:dyDescent="0.25">
      <c r="A120" s="27" t="s">
        <v>36</v>
      </c>
      <c r="B120" s="164" t="s">
        <v>224</v>
      </c>
      <c r="C120" s="166"/>
      <c r="D120" s="138">
        <v>230773273</v>
      </c>
      <c r="E120" s="39">
        <v>53340000</v>
      </c>
      <c r="F120" s="167"/>
      <c r="G120" s="39"/>
      <c r="H120" s="133">
        <f t="shared" si="4"/>
        <v>69859070</v>
      </c>
      <c r="I120" s="59">
        <f>28614577+42450993-1206500</f>
        <v>69859070</v>
      </c>
      <c r="J120" s="168"/>
      <c r="K120" s="59"/>
    </row>
    <row r="121" spans="1:11" ht="12" customHeight="1" x14ac:dyDescent="0.25">
      <c r="A121" s="27" t="s">
        <v>38</v>
      </c>
      <c r="B121" s="45" t="s">
        <v>225</v>
      </c>
      <c r="C121" s="169">
        <v>13213266</v>
      </c>
      <c r="D121" s="138">
        <v>66620721</v>
      </c>
      <c r="E121" s="39">
        <f>SUM(E122:E129)</f>
        <v>43151500</v>
      </c>
      <c r="F121" s="39"/>
      <c r="G121" s="39"/>
      <c r="H121" s="133">
        <f t="shared" si="4"/>
        <v>26919106</v>
      </c>
      <c r="I121" s="59">
        <f>SUM(I122:I129)</f>
        <v>26919106</v>
      </c>
      <c r="J121" s="59">
        <f t="shared" ref="J121" si="8">SUM(J122:J129)</f>
        <v>0</v>
      </c>
      <c r="K121" s="59"/>
    </row>
    <row r="122" spans="1:11" ht="12" customHeight="1" x14ac:dyDescent="0.25">
      <c r="A122" s="27" t="s">
        <v>40</v>
      </c>
      <c r="B122" s="43" t="s">
        <v>226</v>
      </c>
      <c r="C122" s="170"/>
      <c r="D122" s="138">
        <v>0</v>
      </c>
      <c r="E122" s="48"/>
      <c r="F122" s="48"/>
      <c r="G122" s="39"/>
      <c r="H122" s="133">
        <f t="shared" si="4"/>
        <v>0</v>
      </c>
      <c r="I122" s="51"/>
      <c r="J122" s="51"/>
      <c r="K122" s="59"/>
    </row>
    <row r="123" spans="1:11" ht="12" customHeight="1" x14ac:dyDescent="0.25">
      <c r="A123" s="27" t="s">
        <v>227</v>
      </c>
      <c r="B123" s="171" t="s">
        <v>228</v>
      </c>
      <c r="C123" s="172"/>
      <c r="D123" s="138">
        <v>0</v>
      </c>
      <c r="E123" s="48"/>
      <c r="F123" s="48"/>
      <c r="G123" s="39"/>
      <c r="H123" s="133">
        <f t="shared" si="4"/>
        <v>0</v>
      </c>
      <c r="I123" s="51"/>
      <c r="J123" s="51"/>
      <c r="K123" s="59"/>
    </row>
    <row r="124" spans="1:11" ht="12" customHeight="1" x14ac:dyDescent="0.25">
      <c r="A124" s="27" t="s">
        <v>229</v>
      </c>
      <c r="B124" s="145" t="s">
        <v>201</v>
      </c>
      <c r="C124" s="173"/>
      <c r="D124" s="138">
        <v>0</v>
      </c>
      <c r="E124" s="48"/>
      <c r="F124" s="48"/>
      <c r="G124" s="39"/>
      <c r="H124" s="133">
        <f t="shared" si="4"/>
        <v>0</v>
      </c>
      <c r="I124" s="51"/>
      <c r="J124" s="51"/>
      <c r="K124" s="59"/>
    </row>
    <row r="125" spans="1:11" ht="12" customHeight="1" x14ac:dyDescent="0.25">
      <c r="A125" s="27" t="s">
        <v>230</v>
      </c>
      <c r="B125" s="145" t="s">
        <v>231</v>
      </c>
      <c r="C125" s="173"/>
      <c r="D125" s="138">
        <v>0</v>
      </c>
      <c r="E125" s="48"/>
      <c r="F125" s="48"/>
      <c r="G125" s="39"/>
      <c r="H125" s="133">
        <f t="shared" si="4"/>
        <v>0</v>
      </c>
      <c r="I125" s="51"/>
      <c r="J125" s="51"/>
      <c r="K125" s="59"/>
    </row>
    <row r="126" spans="1:11" ht="12" customHeight="1" x14ac:dyDescent="0.25">
      <c r="A126" s="27" t="s">
        <v>232</v>
      </c>
      <c r="B126" s="145" t="s">
        <v>233</v>
      </c>
      <c r="C126" s="173"/>
      <c r="D126" s="138">
        <v>0</v>
      </c>
      <c r="E126" s="48"/>
      <c r="F126" s="48"/>
      <c r="G126" s="39"/>
      <c r="H126" s="133">
        <f t="shared" si="4"/>
        <v>0</v>
      </c>
      <c r="I126" s="51"/>
      <c r="J126" s="51"/>
      <c r="K126" s="59"/>
    </row>
    <row r="127" spans="1:11" ht="12" customHeight="1" x14ac:dyDescent="0.25">
      <c r="A127" s="27" t="s">
        <v>234</v>
      </c>
      <c r="B127" s="145" t="s">
        <v>207</v>
      </c>
      <c r="C127" s="173">
        <v>1015</v>
      </c>
      <c r="D127" s="138">
        <v>0</v>
      </c>
      <c r="E127" s="48"/>
      <c r="F127" s="48"/>
      <c r="G127" s="39"/>
      <c r="H127" s="133">
        <f t="shared" si="4"/>
        <v>0</v>
      </c>
      <c r="I127" s="51"/>
      <c r="J127" s="51"/>
      <c r="K127" s="59"/>
    </row>
    <row r="128" spans="1:11" ht="12" customHeight="1" x14ac:dyDescent="0.25">
      <c r="A128" s="27" t="s">
        <v>235</v>
      </c>
      <c r="B128" s="145" t="s">
        <v>236</v>
      </c>
      <c r="C128" s="173"/>
      <c r="D128" s="138">
        <v>0</v>
      </c>
      <c r="E128" s="48"/>
      <c r="F128" s="48"/>
      <c r="G128" s="39"/>
      <c r="H128" s="133">
        <f t="shared" si="4"/>
        <v>0</v>
      </c>
      <c r="I128" s="51"/>
      <c r="J128" s="51"/>
      <c r="K128" s="59"/>
    </row>
    <row r="129" spans="1:11" ht="12" customHeight="1" thickBot="1" x14ac:dyDescent="0.3">
      <c r="A129" s="147" t="s">
        <v>237</v>
      </c>
      <c r="B129" s="145" t="s">
        <v>238</v>
      </c>
      <c r="C129" s="146">
        <v>13212251</v>
      </c>
      <c r="D129" s="153">
        <v>66620721</v>
      </c>
      <c r="E129" s="60">
        <f>42072000+1079500</f>
        <v>43151500</v>
      </c>
      <c r="F129" s="60"/>
      <c r="G129" s="60"/>
      <c r="H129" s="133">
        <f t="shared" si="4"/>
        <v>26919106</v>
      </c>
      <c r="I129" s="62">
        <f>650000+26269106</f>
        <v>26919106</v>
      </c>
      <c r="J129" s="62"/>
      <c r="K129" s="62"/>
    </row>
    <row r="130" spans="1:11" ht="12" customHeight="1" thickBot="1" x14ac:dyDescent="0.3">
      <c r="A130" s="20" t="s">
        <v>42</v>
      </c>
      <c r="B130" s="174" t="s">
        <v>239</v>
      </c>
      <c r="C130" s="85">
        <v>2515044736</v>
      </c>
      <c r="D130" s="23">
        <v>3247524128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161">
        <f t="shared" si="4"/>
        <v>2988396584</v>
      </c>
      <c r="I130" s="25">
        <f>+I95+I116</f>
        <v>1134241880</v>
      </c>
      <c r="J130" s="24">
        <f>+J95+J116</f>
        <v>227256857</v>
      </c>
      <c r="K130" s="24">
        <f>+K95+K116</f>
        <v>1626897847</v>
      </c>
    </row>
    <row r="131" spans="1:11" ht="12" customHeight="1" thickBot="1" x14ac:dyDescent="0.3">
      <c r="A131" s="20" t="s">
        <v>240</v>
      </c>
      <c r="B131" s="174" t="s">
        <v>241</v>
      </c>
      <c r="C131" s="85">
        <v>3160000</v>
      </c>
      <c r="D131" s="23">
        <v>108486704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161">
        <f t="shared" si="4"/>
        <v>116952500</v>
      </c>
      <c r="I131" s="25">
        <f>+I132+I133+I134</f>
        <v>116952500</v>
      </c>
      <c r="J131" s="24">
        <f>+J132+J133+J134</f>
        <v>0</v>
      </c>
      <c r="K131" s="24">
        <f>+K132+K133+K134</f>
        <v>0</v>
      </c>
    </row>
    <row r="132" spans="1:11" ht="12" customHeight="1" x14ac:dyDescent="0.25">
      <c r="A132" s="27" t="s">
        <v>58</v>
      </c>
      <c r="B132" s="164" t="s">
        <v>242</v>
      </c>
      <c r="C132" s="146">
        <v>3160000</v>
      </c>
      <c r="D132" s="76">
        <v>8486704</v>
      </c>
      <c r="E132" s="39">
        <v>3161000</v>
      </c>
      <c r="F132" s="39"/>
      <c r="G132" s="39"/>
      <c r="H132" s="133">
        <f t="shared" si="4"/>
        <v>16952500</v>
      </c>
      <c r="I132" s="59">
        <f>11674500+5278000</f>
        <v>16952500</v>
      </c>
      <c r="J132" s="59"/>
      <c r="K132" s="59"/>
    </row>
    <row r="133" spans="1:11" ht="12" customHeight="1" x14ac:dyDescent="0.25">
      <c r="A133" s="27" t="s">
        <v>64</v>
      </c>
      <c r="B133" s="164" t="s">
        <v>243</v>
      </c>
      <c r="C133" s="166"/>
      <c r="D133" s="175">
        <v>100000000</v>
      </c>
      <c r="E133" s="48">
        <v>100000000</v>
      </c>
      <c r="F133" s="48"/>
      <c r="G133" s="48"/>
      <c r="H133" s="133">
        <f t="shared" si="4"/>
        <v>100000000</v>
      </c>
      <c r="I133" s="51">
        <v>100000000</v>
      </c>
      <c r="J133" s="51"/>
      <c r="K133" s="51"/>
    </row>
    <row r="134" spans="1:11" ht="12" customHeight="1" thickBot="1" x14ac:dyDescent="0.3">
      <c r="A134" s="147" t="s">
        <v>244</v>
      </c>
      <c r="B134" s="164" t="s">
        <v>245</v>
      </c>
      <c r="C134" s="166"/>
      <c r="D134" s="176">
        <v>0</v>
      </c>
      <c r="E134" s="48"/>
      <c r="F134" s="48"/>
      <c r="G134" s="48"/>
      <c r="H134" s="177">
        <f t="shared" si="4"/>
        <v>0</v>
      </c>
      <c r="I134" s="51"/>
      <c r="J134" s="51"/>
      <c r="K134" s="51"/>
    </row>
    <row r="135" spans="1:11" ht="12" customHeight="1" thickBot="1" x14ac:dyDescent="0.3">
      <c r="A135" s="20" t="s">
        <v>72</v>
      </c>
      <c r="B135" s="174" t="s">
        <v>246</v>
      </c>
      <c r="C135" s="96"/>
      <c r="D135" s="178"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161">
        <f t="shared" si="4"/>
        <v>0</v>
      </c>
      <c r="I135" s="25">
        <f>+I136+I137+I138+I139+I140+I141</f>
        <v>0</v>
      </c>
      <c r="J135" s="24">
        <f>+J136+J137+J138+J139+J140+J141</f>
        <v>0</v>
      </c>
      <c r="K135" s="24">
        <f>SUM(K136:K141)</f>
        <v>0</v>
      </c>
    </row>
    <row r="136" spans="1:11" ht="12" customHeight="1" x14ac:dyDescent="0.25">
      <c r="A136" s="27" t="s">
        <v>74</v>
      </c>
      <c r="B136" s="179" t="s">
        <v>247</v>
      </c>
      <c r="C136" s="172"/>
      <c r="D136" s="76">
        <v>0</v>
      </c>
      <c r="E136" s="48"/>
      <c r="F136" s="48"/>
      <c r="G136" s="48"/>
      <c r="H136" s="133">
        <f t="shared" si="4"/>
        <v>0</v>
      </c>
      <c r="I136" s="51"/>
      <c r="J136" s="51"/>
      <c r="K136" s="51"/>
    </row>
    <row r="137" spans="1:11" ht="12" customHeight="1" x14ac:dyDescent="0.25">
      <c r="A137" s="27" t="s">
        <v>76</v>
      </c>
      <c r="B137" s="179" t="s">
        <v>248</v>
      </c>
      <c r="C137" s="172"/>
      <c r="D137" s="175">
        <v>0</v>
      </c>
      <c r="E137" s="48"/>
      <c r="F137" s="48"/>
      <c r="G137" s="48"/>
      <c r="H137" s="133">
        <f t="shared" si="4"/>
        <v>0</v>
      </c>
      <c r="I137" s="51"/>
      <c r="J137" s="51"/>
      <c r="K137" s="51"/>
    </row>
    <row r="138" spans="1:11" ht="12" customHeight="1" x14ac:dyDescent="0.25">
      <c r="A138" s="27" t="s">
        <v>78</v>
      </c>
      <c r="B138" s="179" t="s">
        <v>249</v>
      </c>
      <c r="C138" s="172"/>
      <c r="D138" s="175">
        <v>0</v>
      </c>
      <c r="E138" s="48"/>
      <c r="F138" s="48"/>
      <c r="G138" s="48"/>
      <c r="H138" s="133">
        <f t="shared" si="4"/>
        <v>0</v>
      </c>
      <c r="I138" s="51"/>
      <c r="J138" s="51"/>
      <c r="K138" s="51"/>
    </row>
    <row r="139" spans="1:11" ht="12" customHeight="1" x14ac:dyDescent="0.25">
      <c r="A139" s="27" t="s">
        <v>80</v>
      </c>
      <c r="B139" s="179" t="s">
        <v>250</v>
      </c>
      <c r="C139" s="172"/>
      <c r="D139" s="175">
        <v>0</v>
      </c>
      <c r="E139" s="48"/>
      <c r="F139" s="48"/>
      <c r="G139" s="48"/>
      <c r="H139" s="133">
        <f t="shared" si="4"/>
        <v>0</v>
      </c>
      <c r="I139" s="51"/>
      <c r="J139" s="51"/>
      <c r="K139" s="51"/>
    </row>
    <row r="140" spans="1:11" ht="12" customHeight="1" x14ac:dyDescent="0.25">
      <c r="A140" s="27" t="s">
        <v>82</v>
      </c>
      <c r="B140" s="179" t="s">
        <v>251</v>
      </c>
      <c r="C140" s="172"/>
      <c r="D140" s="175">
        <v>0</v>
      </c>
      <c r="E140" s="48"/>
      <c r="F140" s="48"/>
      <c r="G140" s="48"/>
      <c r="H140" s="133">
        <f t="shared" si="4"/>
        <v>0</v>
      </c>
      <c r="I140" s="51"/>
      <c r="J140" s="51"/>
      <c r="K140" s="51"/>
    </row>
    <row r="141" spans="1:11" ht="12" customHeight="1" thickBot="1" x14ac:dyDescent="0.3">
      <c r="A141" s="147" t="s">
        <v>84</v>
      </c>
      <c r="B141" s="179" t="s">
        <v>252</v>
      </c>
      <c r="C141" s="172"/>
      <c r="D141" s="176">
        <v>0</v>
      </c>
      <c r="E141" s="48"/>
      <c r="F141" s="48"/>
      <c r="G141" s="48"/>
      <c r="H141" s="177">
        <f t="shared" si="4"/>
        <v>0</v>
      </c>
      <c r="I141" s="51"/>
      <c r="J141" s="51"/>
      <c r="K141" s="51"/>
    </row>
    <row r="142" spans="1:11" ht="12" customHeight="1" thickBot="1" x14ac:dyDescent="0.3">
      <c r="A142" s="20" t="s">
        <v>96</v>
      </c>
      <c r="B142" s="174" t="s">
        <v>253</v>
      </c>
      <c r="C142" s="85">
        <v>35164932</v>
      </c>
      <c r="D142" s="23">
        <v>38167591</v>
      </c>
      <c r="E142" s="72">
        <f>+E143+E144+E145+E146</f>
        <v>35164932</v>
      </c>
      <c r="F142" s="73">
        <f>+F143+F144+F145+F146</f>
        <v>0</v>
      </c>
      <c r="G142" s="73">
        <f>+G143+G144+G145+G146</f>
        <v>0</v>
      </c>
      <c r="H142" s="161">
        <f t="shared" si="4"/>
        <v>41904332</v>
      </c>
      <c r="I142" s="74">
        <f>+I143+I144+I145+I146</f>
        <v>41904332</v>
      </c>
      <c r="J142" s="75">
        <f>+J143+J144+J145+J146</f>
        <v>0</v>
      </c>
      <c r="K142" s="75">
        <f>+K143+K144+K145+K146</f>
        <v>0</v>
      </c>
    </row>
    <row r="143" spans="1:11" ht="12" customHeight="1" x14ac:dyDescent="0.25">
      <c r="A143" s="27" t="s">
        <v>98</v>
      </c>
      <c r="B143" s="179" t="s">
        <v>254</v>
      </c>
      <c r="C143" s="172"/>
      <c r="D143" s="76">
        <v>0</v>
      </c>
      <c r="E143" s="48"/>
      <c r="F143" s="48"/>
      <c r="G143" s="48"/>
      <c r="H143" s="180">
        <f t="shared" si="4"/>
        <v>0</v>
      </c>
      <c r="I143" s="51"/>
      <c r="J143" s="51"/>
      <c r="K143" s="51"/>
    </row>
    <row r="144" spans="1:11" ht="12" customHeight="1" x14ac:dyDescent="0.25">
      <c r="A144" s="27" t="s">
        <v>100</v>
      </c>
      <c r="B144" s="179" t="s">
        <v>255</v>
      </c>
      <c r="C144" s="163">
        <v>35164932</v>
      </c>
      <c r="D144" s="175">
        <v>38167591</v>
      </c>
      <c r="E144" s="48">
        <f>35164932</f>
        <v>35164932</v>
      </c>
      <c r="F144" s="48"/>
      <c r="G144" s="48"/>
      <c r="H144" s="133">
        <f t="shared" si="4"/>
        <v>41904332</v>
      </c>
      <c r="I144" s="51">
        <f>41904332</f>
        <v>41904332</v>
      </c>
      <c r="J144" s="51"/>
      <c r="K144" s="51"/>
    </row>
    <row r="145" spans="1:11" ht="12" customHeight="1" x14ac:dyDescent="0.25">
      <c r="A145" s="27" t="s">
        <v>102</v>
      </c>
      <c r="B145" s="179" t="s">
        <v>256</v>
      </c>
      <c r="C145" s="172"/>
      <c r="D145" s="175">
        <v>0</v>
      </c>
      <c r="E145" s="48"/>
      <c r="F145" s="48"/>
      <c r="G145" s="48"/>
      <c r="H145" s="180">
        <f t="shared" si="4"/>
        <v>0</v>
      </c>
      <c r="I145" s="51"/>
      <c r="J145" s="51"/>
      <c r="K145" s="51"/>
    </row>
    <row r="146" spans="1:11" ht="12" customHeight="1" thickBot="1" x14ac:dyDescent="0.3">
      <c r="A146" s="147" t="s">
        <v>104</v>
      </c>
      <c r="B146" s="181" t="s">
        <v>257</v>
      </c>
      <c r="C146" s="182"/>
      <c r="D146" s="176">
        <v>0</v>
      </c>
      <c r="E146" s="48"/>
      <c r="F146" s="48"/>
      <c r="G146" s="48"/>
      <c r="H146" s="183">
        <f t="shared" si="4"/>
        <v>0</v>
      </c>
      <c r="I146" s="51"/>
      <c r="J146" s="51"/>
      <c r="K146" s="51"/>
    </row>
    <row r="147" spans="1:11" ht="12" customHeight="1" thickBot="1" x14ac:dyDescent="0.3">
      <c r="A147" s="20" t="s">
        <v>258</v>
      </c>
      <c r="B147" s="174" t="s">
        <v>259</v>
      </c>
      <c r="C147" s="97"/>
      <c r="D147" s="178">
        <v>0</v>
      </c>
      <c r="E147" s="184">
        <f>+E148+E149+E150+E151+E152</f>
        <v>0</v>
      </c>
      <c r="F147" s="185">
        <f>+F148+F149+F150+F151+F152</f>
        <v>0</v>
      </c>
      <c r="G147" s="185">
        <f>SUM(G148:G152)</f>
        <v>0</v>
      </c>
      <c r="H147" s="161">
        <f t="shared" si="4"/>
        <v>0</v>
      </c>
      <c r="I147" s="186">
        <f>+I148+I149+I150+I151+I152</f>
        <v>0</v>
      </c>
      <c r="J147" s="187">
        <f>+J148+J149+J150+J151+J152</f>
        <v>0</v>
      </c>
      <c r="K147" s="187">
        <f>SUM(K148:K152)</f>
        <v>0</v>
      </c>
    </row>
    <row r="148" spans="1:11" ht="12" customHeight="1" x14ac:dyDescent="0.25">
      <c r="A148" s="27" t="s">
        <v>110</v>
      </c>
      <c r="B148" s="179" t="s">
        <v>260</v>
      </c>
      <c r="C148" s="172"/>
      <c r="D148" s="76">
        <v>0</v>
      </c>
      <c r="E148" s="48"/>
      <c r="F148" s="48"/>
      <c r="G148" s="48"/>
      <c r="H148" s="180">
        <f t="shared" si="4"/>
        <v>0</v>
      </c>
      <c r="I148" s="51"/>
      <c r="J148" s="51"/>
      <c r="K148" s="51"/>
    </row>
    <row r="149" spans="1:11" ht="12" customHeight="1" x14ac:dyDescent="0.25">
      <c r="A149" s="27" t="s">
        <v>112</v>
      </c>
      <c r="B149" s="179" t="s">
        <v>261</v>
      </c>
      <c r="C149" s="163"/>
      <c r="D149" s="175">
        <v>0</v>
      </c>
      <c r="E149" s="48"/>
      <c r="F149" s="48"/>
      <c r="G149" s="48"/>
      <c r="H149" s="180">
        <f t="shared" si="4"/>
        <v>0</v>
      </c>
      <c r="I149" s="51"/>
      <c r="J149" s="51"/>
      <c r="K149" s="51"/>
    </row>
    <row r="150" spans="1:11" ht="12" customHeight="1" x14ac:dyDescent="0.25">
      <c r="A150" s="27" t="s">
        <v>114</v>
      </c>
      <c r="B150" s="179" t="s">
        <v>262</v>
      </c>
      <c r="C150" s="172"/>
      <c r="D150" s="175">
        <v>0</v>
      </c>
      <c r="E150" s="48"/>
      <c r="F150" s="48"/>
      <c r="G150" s="48"/>
      <c r="H150" s="180">
        <f t="shared" si="4"/>
        <v>0</v>
      </c>
      <c r="I150" s="51"/>
      <c r="J150" s="51"/>
      <c r="K150" s="51"/>
    </row>
    <row r="151" spans="1:11" ht="12" customHeight="1" x14ac:dyDescent="0.25">
      <c r="A151" s="27" t="s">
        <v>116</v>
      </c>
      <c r="B151" s="179" t="s">
        <v>263</v>
      </c>
      <c r="C151" s="172"/>
      <c r="D151" s="175">
        <v>0</v>
      </c>
      <c r="E151" s="48"/>
      <c r="F151" s="48"/>
      <c r="G151" s="48"/>
      <c r="H151" s="180">
        <f t="shared" si="4"/>
        <v>0</v>
      </c>
      <c r="I151" s="51"/>
      <c r="J151" s="51"/>
      <c r="K151" s="51"/>
    </row>
    <row r="152" spans="1:11" ht="12" customHeight="1" thickBot="1" x14ac:dyDescent="0.3">
      <c r="A152" s="27" t="s">
        <v>264</v>
      </c>
      <c r="B152" s="179" t="s">
        <v>265</v>
      </c>
      <c r="C152" s="172"/>
      <c r="D152" s="176">
        <v>0</v>
      </c>
      <c r="E152" s="89"/>
      <c r="F152" s="89"/>
      <c r="G152" s="48"/>
      <c r="H152" s="183">
        <f t="shared" si="4"/>
        <v>0</v>
      </c>
      <c r="I152" s="91"/>
      <c r="J152" s="91"/>
      <c r="K152" s="51"/>
    </row>
    <row r="153" spans="1:11" ht="12" customHeight="1" thickBot="1" x14ac:dyDescent="0.3">
      <c r="A153" s="20" t="s">
        <v>118</v>
      </c>
      <c r="B153" s="174" t="s">
        <v>266</v>
      </c>
      <c r="C153" s="97"/>
      <c r="D153" s="178">
        <v>0</v>
      </c>
      <c r="E153" s="184"/>
      <c r="F153" s="185"/>
      <c r="G153" s="188"/>
      <c r="H153" s="161">
        <f t="shared" si="4"/>
        <v>0</v>
      </c>
      <c r="I153" s="186"/>
      <c r="J153" s="187"/>
      <c r="K153" s="189"/>
    </row>
    <row r="154" spans="1:11" ht="12" customHeight="1" thickBot="1" x14ac:dyDescent="0.3">
      <c r="A154" s="20" t="s">
        <v>267</v>
      </c>
      <c r="B154" s="174" t="s">
        <v>268</v>
      </c>
      <c r="C154" s="97"/>
      <c r="D154" s="178">
        <v>0</v>
      </c>
      <c r="E154" s="184"/>
      <c r="F154" s="185"/>
      <c r="G154" s="188"/>
      <c r="H154" s="161">
        <f t="shared" si="4"/>
        <v>0</v>
      </c>
      <c r="I154" s="186"/>
      <c r="J154" s="187"/>
      <c r="K154" s="189"/>
    </row>
    <row r="155" spans="1:11" ht="15" customHeight="1" thickBot="1" x14ac:dyDescent="0.3">
      <c r="A155" s="20" t="s">
        <v>269</v>
      </c>
      <c r="B155" s="174" t="s">
        <v>270</v>
      </c>
      <c r="C155" s="85">
        <v>38324932</v>
      </c>
      <c r="D155" s="23">
        <v>146654295</v>
      </c>
      <c r="E155" s="190">
        <f>+E131+E135+E142+E147+E153+E154</f>
        <v>138325932</v>
      </c>
      <c r="F155" s="191">
        <f>+F131+F135+F142+F147+F153+F154</f>
        <v>0</v>
      </c>
      <c r="G155" s="191">
        <f>+G131+G135+G142+G147+G153+G154</f>
        <v>0</v>
      </c>
      <c r="H155" s="161">
        <f t="shared" si="4"/>
        <v>158856832</v>
      </c>
      <c r="I155" s="192">
        <f>+I131+I135+I142+I147+I153+I154</f>
        <v>158856832</v>
      </c>
      <c r="J155" s="193">
        <f>+J131+J135+J142+J147+J153+J154</f>
        <v>0</v>
      </c>
      <c r="K155" s="193">
        <f>+K131+K135+K142+K147+K153+K154</f>
        <v>0</v>
      </c>
    </row>
    <row r="156" spans="1:11" s="26" customFormat="1" ht="12.95" customHeight="1" thickBot="1" x14ac:dyDescent="0.25">
      <c r="A156" s="194" t="s">
        <v>271</v>
      </c>
      <c r="B156" s="195" t="s">
        <v>272</v>
      </c>
      <c r="C156" s="85">
        <v>2553369668</v>
      </c>
      <c r="D156" s="23">
        <v>3394178423</v>
      </c>
      <c r="E156" s="190">
        <f>+E130+E155</f>
        <v>607614265</v>
      </c>
      <c r="F156" s="191">
        <f>+F130+F155</f>
        <v>225723850</v>
      </c>
      <c r="G156" s="191">
        <f>+G130+G155</f>
        <v>1397286981</v>
      </c>
      <c r="H156" s="161">
        <f t="shared" si="4"/>
        <v>3147253416</v>
      </c>
      <c r="I156" s="192">
        <f>+I130+I155</f>
        <v>1293098712</v>
      </c>
      <c r="J156" s="193">
        <f>+J130+J155</f>
        <v>227256857</v>
      </c>
      <c r="K156" s="193">
        <f>+K130+K155</f>
        <v>1626897847</v>
      </c>
    </row>
    <row r="160" spans="1:11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4" orientation="portrait" r:id="rId1"/>
  <headerFooter alignWithMargins="0">
    <oddHeader>&amp;R&amp;"Times New Roman CE,Félkövér dőlt"&amp;11 1. számú tájékoztató tábla a 4/2019.(II.19.) önkormányzati rendelethez</oddHeader>
  </headerFooter>
  <rowBreaks count="1" manualBreakCount="1">
    <brk id="7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2019-02-19T14:07:16Z</dcterms:created>
  <dcterms:modified xsi:type="dcterms:W3CDTF">2019-02-19T14:07:16Z</dcterms:modified>
</cp:coreProperties>
</file>