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3155B88C-0CEF-483F-9881-216CE7ADCA1A}" xr6:coauthVersionLast="31" xr6:coauthVersionMax="31" xr10:uidLastSave="{00000000-0000-0000-0000-000000000000}"/>
  <bookViews>
    <workbookView xWindow="0" yWindow="0" windowWidth="20490" windowHeight="7545" xr2:uid="{D7352F62-F7A5-49F6-8987-9D04AB847BF1}"/>
  </bookViews>
  <sheets>
    <sheet name="1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" i="1" l="1"/>
  <c r="E155" i="1"/>
  <c r="H154" i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/>
  <c r="G147" i="1"/>
  <c r="F147" i="1"/>
  <c r="E147" i="1"/>
  <c r="D147" i="1"/>
  <c r="C147" i="1"/>
  <c r="C155" i="1" s="1"/>
  <c r="C156" i="1" s="1"/>
  <c r="H146" i="1"/>
  <c r="D146" i="1"/>
  <c r="H145" i="1"/>
  <c r="D145" i="1"/>
  <c r="H144" i="1"/>
  <c r="E144" i="1"/>
  <c r="D144" i="1"/>
  <c r="D142" i="1" s="1"/>
  <c r="H143" i="1"/>
  <c r="D143" i="1"/>
  <c r="K142" i="1"/>
  <c r="J142" i="1"/>
  <c r="H142" i="1" s="1"/>
  <c r="I142" i="1"/>
  <c r="G142" i="1"/>
  <c r="F142" i="1"/>
  <c r="E142" i="1"/>
  <c r="C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K135" i="1"/>
  <c r="J135" i="1"/>
  <c r="I135" i="1"/>
  <c r="H135" i="1" s="1"/>
  <c r="G135" i="1"/>
  <c r="F135" i="1"/>
  <c r="E135" i="1"/>
  <c r="D135" i="1"/>
  <c r="C135" i="1"/>
  <c r="H134" i="1"/>
  <c r="D134" i="1"/>
  <c r="H133" i="1"/>
  <c r="D133" i="1"/>
  <c r="D131" i="1" s="1"/>
  <c r="I132" i="1"/>
  <c r="H132" i="1"/>
  <c r="D132" i="1"/>
  <c r="K131" i="1"/>
  <c r="K155" i="1" s="1"/>
  <c r="J131" i="1"/>
  <c r="J155" i="1" s="1"/>
  <c r="I131" i="1"/>
  <c r="H131" i="1" s="1"/>
  <c r="G131" i="1"/>
  <c r="G155" i="1" s="1"/>
  <c r="F131" i="1"/>
  <c r="F155" i="1" s="1"/>
  <c r="E131" i="1"/>
  <c r="C131" i="1"/>
  <c r="H129" i="1"/>
  <c r="E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D121" i="1" s="1"/>
  <c r="H121" i="1"/>
  <c r="E121" i="1"/>
  <c r="I120" i="1"/>
  <c r="H120" i="1" s="1"/>
  <c r="D120" i="1"/>
  <c r="I119" i="1"/>
  <c r="H119" i="1"/>
  <c r="E119" i="1"/>
  <c r="D119" i="1"/>
  <c r="I118" i="1"/>
  <c r="H118" i="1" s="1"/>
  <c r="E118" i="1"/>
  <c r="D118" i="1"/>
  <c r="K117" i="1"/>
  <c r="I117" i="1"/>
  <c r="H117" i="1" s="1"/>
  <c r="E117" i="1"/>
  <c r="D117" i="1" s="1"/>
  <c r="D116" i="1" s="1"/>
  <c r="K116" i="1"/>
  <c r="J116" i="1"/>
  <c r="I116" i="1"/>
  <c r="H116" i="1" s="1"/>
  <c r="G116" i="1"/>
  <c r="F116" i="1"/>
  <c r="C116" i="1"/>
  <c r="C130" i="1" s="1"/>
  <c r="I115" i="1"/>
  <c r="H115" i="1"/>
  <c r="E115" i="1"/>
  <c r="D115" i="1"/>
  <c r="I114" i="1"/>
  <c r="H114" i="1"/>
  <c r="E114" i="1"/>
  <c r="D114" i="1"/>
  <c r="K113" i="1"/>
  <c r="I113" i="1"/>
  <c r="H113" i="1" s="1"/>
  <c r="G113" i="1"/>
  <c r="E113" i="1"/>
  <c r="D113" i="1"/>
  <c r="C113" i="1"/>
  <c r="I112" i="1"/>
  <c r="H112" i="1" s="1"/>
  <c r="E112" i="1"/>
  <c r="D112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I101" i="1"/>
  <c r="H101" i="1" s="1"/>
  <c r="D101" i="1"/>
  <c r="D100" i="1" s="1"/>
  <c r="I100" i="1"/>
  <c r="H100" i="1"/>
  <c r="F100" i="1"/>
  <c r="E100" i="1"/>
  <c r="I99" i="1"/>
  <c r="H99" i="1" s="1"/>
  <c r="E99" i="1"/>
  <c r="D99" i="1" s="1"/>
  <c r="K98" i="1"/>
  <c r="J98" i="1"/>
  <c r="I98" i="1"/>
  <c r="H98" i="1" s="1"/>
  <c r="E98" i="1"/>
  <c r="D98" i="1" s="1"/>
  <c r="K97" i="1"/>
  <c r="J97" i="1"/>
  <c r="I97" i="1"/>
  <c r="H97" i="1" s="1"/>
  <c r="E97" i="1"/>
  <c r="D97" i="1" s="1"/>
  <c r="K96" i="1"/>
  <c r="J96" i="1"/>
  <c r="I96" i="1"/>
  <c r="H96" i="1" s="1"/>
  <c r="E96" i="1"/>
  <c r="D96" i="1" s="1"/>
  <c r="K95" i="1"/>
  <c r="K130" i="1" s="1"/>
  <c r="K156" i="1" s="1"/>
  <c r="J95" i="1"/>
  <c r="J130" i="1" s="1"/>
  <c r="J156" i="1" s="1"/>
  <c r="G95" i="1"/>
  <c r="G130" i="1" s="1"/>
  <c r="G156" i="1" s="1"/>
  <c r="F95" i="1"/>
  <c r="F130" i="1" s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H82" i="1"/>
  <c r="D82" i="1"/>
  <c r="K81" i="1"/>
  <c r="J81" i="1"/>
  <c r="I81" i="1"/>
  <c r="H81" i="1" s="1"/>
  <c r="G81" i="1"/>
  <c r="F81" i="1"/>
  <c r="E81" i="1"/>
  <c r="D81" i="1"/>
  <c r="C81" i="1"/>
  <c r="C88" i="1" s="1"/>
  <c r="H80" i="1"/>
  <c r="D80" i="1"/>
  <c r="H79" i="1"/>
  <c r="D79" i="1"/>
  <c r="H78" i="1"/>
  <c r="D78" i="1"/>
  <c r="K77" i="1"/>
  <c r="J77" i="1"/>
  <c r="I77" i="1"/>
  <c r="H77" i="1"/>
  <c r="G77" i="1"/>
  <c r="F77" i="1"/>
  <c r="E77" i="1"/>
  <c r="D77" i="1"/>
  <c r="D88" i="1" s="1"/>
  <c r="C77" i="1"/>
  <c r="H76" i="1"/>
  <c r="D76" i="1"/>
  <c r="K75" i="1"/>
  <c r="K74" i="1" s="1"/>
  <c r="J75" i="1"/>
  <c r="I75" i="1"/>
  <c r="H75" i="1" s="1"/>
  <c r="D75" i="1"/>
  <c r="J74" i="1"/>
  <c r="G74" i="1"/>
  <c r="F74" i="1"/>
  <c r="E74" i="1"/>
  <c r="D74" i="1"/>
  <c r="C74" i="1"/>
  <c r="H73" i="1"/>
  <c r="D73" i="1"/>
  <c r="H72" i="1"/>
  <c r="D72" i="1"/>
  <c r="H71" i="1"/>
  <c r="D71" i="1"/>
  <c r="H70" i="1"/>
  <c r="D70" i="1"/>
  <c r="K69" i="1"/>
  <c r="J69" i="1"/>
  <c r="I69" i="1"/>
  <c r="H69" i="1" s="1"/>
  <c r="G69" i="1"/>
  <c r="F69" i="1"/>
  <c r="E69" i="1"/>
  <c r="D69" i="1"/>
  <c r="C69" i="1"/>
  <c r="H68" i="1"/>
  <c r="D68" i="1"/>
  <c r="H67" i="1"/>
  <c r="D67" i="1"/>
  <c r="H66" i="1"/>
  <c r="D66" i="1"/>
  <c r="D65" i="1" s="1"/>
  <c r="K65" i="1"/>
  <c r="K88" i="1" s="1"/>
  <c r="J65" i="1"/>
  <c r="J88" i="1" s="1"/>
  <c r="I65" i="1"/>
  <c r="H65" i="1"/>
  <c r="G65" i="1"/>
  <c r="G88" i="1" s="1"/>
  <c r="F65" i="1"/>
  <c r="F88" i="1" s="1"/>
  <c r="E65" i="1"/>
  <c r="E88" i="1" s="1"/>
  <c r="C65" i="1"/>
  <c r="H63" i="1"/>
  <c r="D63" i="1"/>
  <c r="H62" i="1"/>
  <c r="D62" i="1"/>
  <c r="H61" i="1"/>
  <c r="D61" i="1"/>
  <c r="D59" i="1" s="1"/>
  <c r="H60" i="1"/>
  <c r="D60" i="1"/>
  <c r="K59" i="1"/>
  <c r="J59" i="1"/>
  <c r="H59" i="1" s="1"/>
  <c r="I59" i="1"/>
  <c r="G59" i="1"/>
  <c r="F59" i="1"/>
  <c r="E59" i="1"/>
  <c r="C59" i="1"/>
  <c r="H58" i="1"/>
  <c r="D58" i="1"/>
  <c r="H57" i="1"/>
  <c r="E57" i="1"/>
  <c r="D57" i="1"/>
  <c r="I56" i="1"/>
  <c r="H56" i="1"/>
  <c r="E56" i="1"/>
  <c r="D56" i="1"/>
  <c r="D54" i="1" s="1"/>
  <c r="H55" i="1"/>
  <c r="D55" i="1"/>
  <c r="K54" i="1"/>
  <c r="J54" i="1"/>
  <c r="H54" i="1" s="1"/>
  <c r="I54" i="1"/>
  <c r="G54" i="1"/>
  <c r="F54" i="1"/>
  <c r="E54" i="1"/>
  <c r="C54" i="1"/>
  <c r="H53" i="1"/>
  <c r="D53" i="1"/>
  <c r="H52" i="1"/>
  <c r="D52" i="1"/>
  <c r="H51" i="1"/>
  <c r="H50" i="1"/>
  <c r="E50" i="1"/>
  <c r="D50" i="1" s="1"/>
  <c r="D48" i="1" s="1"/>
  <c r="H49" i="1"/>
  <c r="D49" i="1"/>
  <c r="K48" i="1"/>
  <c r="J48" i="1"/>
  <c r="I48" i="1"/>
  <c r="H48" i="1" s="1"/>
  <c r="G48" i="1"/>
  <c r="F48" i="1"/>
  <c r="E48" i="1"/>
  <c r="C48" i="1"/>
  <c r="I47" i="1"/>
  <c r="H47" i="1"/>
  <c r="E47" i="1"/>
  <c r="D47" i="1"/>
  <c r="H46" i="1"/>
  <c r="E46" i="1"/>
  <c r="D46" i="1" s="1"/>
  <c r="H45" i="1"/>
  <c r="D45" i="1"/>
  <c r="H44" i="1"/>
  <c r="D44" i="1"/>
  <c r="H43" i="1"/>
  <c r="D43" i="1"/>
  <c r="K42" i="1"/>
  <c r="J42" i="1"/>
  <c r="I42" i="1"/>
  <c r="H42" i="1" s="1"/>
  <c r="E42" i="1"/>
  <c r="D42" i="1" s="1"/>
  <c r="H41" i="1"/>
  <c r="G41" i="1"/>
  <c r="D41" i="1"/>
  <c r="H40" i="1"/>
  <c r="E40" i="1"/>
  <c r="D40" i="1" s="1"/>
  <c r="I39" i="1"/>
  <c r="H39" i="1" s="1"/>
  <c r="E39" i="1"/>
  <c r="D39" i="1"/>
  <c r="K38" i="1"/>
  <c r="K36" i="1" s="1"/>
  <c r="J38" i="1"/>
  <c r="I38" i="1"/>
  <c r="E38" i="1"/>
  <c r="D38" i="1" s="1"/>
  <c r="H37" i="1"/>
  <c r="E37" i="1"/>
  <c r="D37" i="1"/>
  <c r="J36" i="1"/>
  <c r="G36" i="1"/>
  <c r="F36" i="1"/>
  <c r="C36" i="1"/>
  <c r="I35" i="1"/>
  <c r="H35" i="1"/>
  <c r="D35" i="1"/>
  <c r="I34" i="1"/>
  <c r="H34" i="1"/>
  <c r="D34" i="1"/>
  <c r="H33" i="1"/>
  <c r="E33" i="1"/>
  <c r="D33" i="1"/>
  <c r="H32" i="1"/>
  <c r="D32" i="1"/>
  <c r="H31" i="1"/>
  <c r="E31" i="1"/>
  <c r="D31" i="1"/>
  <c r="I30" i="1"/>
  <c r="H30" i="1" s="1"/>
  <c r="E30" i="1"/>
  <c r="D30" i="1"/>
  <c r="I29" i="1"/>
  <c r="H29" i="1" s="1"/>
  <c r="E29" i="1"/>
  <c r="D29" i="1"/>
  <c r="C29" i="1"/>
  <c r="C28" i="1" s="1"/>
  <c r="K28" i="1"/>
  <c r="J28" i="1"/>
  <c r="G28" i="1"/>
  <c r="F28" i="1"/>
  <c r="E28" i="1"/>
  <c r="D28" i="1"/>
  <c r="I27" i="1"/>
  <c r="H27" i="1" s="1"/>
  <c r="D27" i="1"/>
  <c r="I26" i="1"/>
  <c r="H26" i="1"/>
  <c r="E26" i="1"/>
  <c r="D26" i="1"/>
  <c r="H25" i="1"/>
  <c r="D25" i="1"/>
  <c r="H24" i="1"/>
  <c r="D24" i="1"/>
  <c r="H23" i="1"/>
  <c r="D23" i="1"/>
  <c r="H22" i="1"/>
  <c r="D22" i="1"/>
  <c r="D21" i="1" s="1"/>
  <c r="K21" i="1"/>
  <c r="J21" i="1"/>
  <c r="I21" i="1"/>
  <c r="H21" i="1"/>
  <c r="G21" i="1"/>
  <c r="F21" i="1"/>
  <c r="E21" i="1"/>
  <c r="H20" i="1"/>
  <c r="D20" i="1"/>
  <c r="J19" i="1"/>
  <c r="I19" i="1"/>
  <c r="H19" i="1" s="1"/>
  <c r="E19" i="1"/>
  <c r="D19" i="1" s="1"/>
  <c r="D14" i="1" s="1"/>
  <c r="H18" i="1"/>
  <c r="D18" i="1"/>
  <c r="H17" i="1"/>
  <c r="D17" i="1"/>
  <c r="H16" i="1"/>
  <c r="D16" i="1"/>
  <c r="H15" i="1"/>
  <c r="D15" i="1"/>
  <c r="K14" i="1"/>
  <c r="J14" i="1"/>
  <c r="G14" i="1"/>
  <c r="F14" i="1"/>
  <c r="E14" i="1"/>
  <c r="H13" i="1"/>
  <c r="D13" i="1"/>
  <c r="I12" i="1"/>
  <c r="H12" i="1" s="1"/>
  <c r="E12" i="1"/>
  <c r="D12" i="1" s="1"/>
  <c r="I11" i="1"/>
  <c r="H11" i="1" s="1"/>
  <c r="E11" i="1"/>
  <c r="D11" i="1" s="1"/>
  <c r="I10" i="1"/>
  <c r="H10" i="1" s="1"/>
  <c r="E10" i="1"/>
  <c r="D10" i="1" s="1"/>
  <c r="H9" i="1"/>
  <c r="D9" i="1"/>
  <c r="H8" i="1"/>
  <c r="D8" i="1"/>
  <c r="K7" i="1"/>
  <c r="K64" i="1" s="1"/>
  <c r="J7" i="1"/>
  <c r="J64" i="1" s="1"/>
  <c r="J89" i="1" s="1"/>
  <c r="I7" i="1"/>
  <c r="H7" i="1" s="1"/>
  <c r="G7" i="1"/>
  <c r="G64" i="1" s="1"/>
  <c r="F7" i="1"/>
  <c r="F64" i="1" s="1"/>
  <c r="F89" i="1" s="1"/>
  <c r="E7" i="1"/>
  <c r="C7" i="1"/>
  <c r="D130" i="1" l="1"/>
  <c r="E64" i="1"/>
  <c r="E89" i="1" s="1"/>
  <c r="H155" i="1"/>
  <c r="K89" i="1"/>
  <c r="C64" i="1"/>
  <c r="C89" i="1" s="1"/>
  <c r="F156" i="1"/>
  <c r="D95" i="1"/>
  <c r="D155" i="1"/>
  <c r="D156" i="1" s="1"/>
  <c r="D36" i="1"/>
  <c r="D64" i="1" s="1"/>
  <c r="D89" i="1" s="1"/>
  <c r="G89" i="1"/>
  <c r="D7" i="1"/>
  <c r="I28" i="1"/>
  <c r="H28" i="1" s="1"/>
  <c r="E36" i="1"/>
  <c r="I36" i="1"/>
  <c r="H36" i="1" s="1"/>
  <c r="H38" i="1"/>
  <c r="I74" i="1"/>
  <c r="H74" i="1" s="1"/>
  <c r="E116" i="1"/>
  <c r="I14" i="1"/>
  <c r="H14" i="1" s="1"/>
  <c r="E95" i="1"/>
  <c r="E130" i="1" s="1"/>
  <c r="E156" i="1" s="1"/>
  <c r="I95" i="1"/>
  <c r="I130" i="1" l="1"/>
  <c r="H95" i="1"/>
  <c r="I88" i="1"/>
  <c r="H88" i="1" s="1"/>
  <c r="I64" i="1"/>
  <c r="H64" i="1" l="1"/>
  <c r="I89" i="1"/>
  <c r="H89" i="1" s="1"/>
  <c r="I156" i="1"/>
  <c r="H156" i="1" s="1"/>
  <c r="H130" i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<sst xmlns="http://schemas.openxmlformats.org/spreadsheetml/2006/main" count="314" uniqueCount="272">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</sst>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2B6207C5-82F8-4FE3-B5AA-2218F0670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C07F-8D68-4786-9BDC-EDCA3039D01F}">
  <sheetPr codeName="Munka30"/>
  <dimension ref="A1:K160"/>
  <sheetViews>
    <sheetView tabSelected="1" zoomScaleNormal="100" zoomScaleSheetLayoutView="85" zoomScalePageLayoutView="85" workbookViewId="0">
      <selection activeCell="J91" sqref="J91"/>
    </sheetView>
  </sheetViews>
  <sheetFormatPr defaultRowHeight="15.75" x14ac:dyDescent="0.25"/>
  <cols>
    <col min="1" max="1" width="9" style="204" customWidth="1"/>
    <col min="2" max="2" width="75.83203125" style="204" customWidth="1"/>
    <col min="3" max="3" width="16.5" style="205" customWidth="1"/>
    <col min="4" max="4" width="15.5" style="205" customWidth="1"/>
    <col min="5" max="7" width="15.5" style="205" hidden="1" customWidth="1"/>
    <col min="8" max="8" width="15.5" style="205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SUM(I7:K7)</f>
        <v>1319904176</v>
      </c>
      <c r="I7" s="25">
        <f>+I8+I9+I10+I11+I12+I13</f>
        <v>1319904176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ref="H8:H71" si="0">SUM(I8:K8)</f>
        <v>227855923</v>
      </c>
      <c r="I8" s="34"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224734134</v>
      </c>
      <c r="I9" s="42">
        <v>224734134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565964345</v>
      </c>
      <c r="I10" s="42">
        <f>126991000+65060600+119410000+192410145+62092600</f>
        <v>565964345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28744040</v>
      </c>
      <c r="I11" s="42">
        <f>16122040+12622000</f>
        <v>28744040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4">
        <f t="shared" si="0"/>
        <v>272605734</v>
      </c>
      <c r="I12" s="42">
        <f>16254886+63796813+190231327+1309600+1013108</f>
        <v>272605734</v>
      </c>
      <c r="J12" s="42"/>
      <c r="K12" s="42"/>
    </row>
    <row r="13" spans="1:11" s="26" customFormat="1" ht="12" customHeight="1" thickBot="1" x14ac:dyDescent="0.25">
      <c r="A13" s="45" t="s">
        <v>26</v>
      </c>
      <c r="B13" s="46" t="s">
        <v>27</v>
      </c>
      <c r="C13" s="47">
        <v>10958352</v>
      </c>
      <c r="D13" s="48">
        <f>SUM(E13:G13)</f>
        <v>0</v>
      </c>
      <c r="E13" s="49"/>
      <c r="F13" s="50"/>
      <c r="G13" s="50"/>
      <c r="H13" s="51">
        <f t="shared" si="0"/>
        <v>0</v>
      </c>
      <c r="I13" s="52"/>
      <c r="J13" s="53"/>
      <c r="K13" s="53"/>
    </row>
    <row r="14" spans="1:11" s="26" customFormat="1" ht="12" customHeight="1" thickBot="1" x14ac:dyDescent="0.25">
      <c r="A14" s="20" t="s">
        <v>28</v>
      </c>
      <c r="B14" s="54" t="s">
        <v>29</v>
      </c>
      <c r="C14" s="55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180642060</v>
      </c>
      <c r="I14" s="25">
        <f>+I15+I16+I17+I18+I19</f>
        <v>158012668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6"/>
      <c r="F15" s="57"/>
      <c r="G15" s="57"/>
      <c r="H15" s="58">
        <f t="shared" si="0"/>
        <v>0</v>
      </c>
      <c r="I15" s="59"/>
      <c r="J15" s="60"/>
      <c r="K15" s="60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61">
        <f>SUM(E16:G16)</f>
        <v>0</v>
      </c>
      <c r="E16" s="49"/>
      <c r="F16" s="50"/>
      <c r="G16" s="50"/>
      <c r="H16" s="41">
        <f t="shared" si="0"/>
        <v>0</v>
      </c>
      <c r="I16" s="52"/>
      <c r="J16" s="53"/>
      <c r="K16" s="53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9"/>
      <c r="F17" s="50"/>
      <c r="G17" s="50"/>
      <c r="H17" s="41">
        <f t="shared" si="0"/>
        <v>0</v>
      </c>
      <c r="I17" s="52"/>
      <c r="J17" s="53"/>
      <c r="K17" s="53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9"/>
      <c r="F18" s="50"/>
      <c r="G18" s="50"/>
      <c r="H18" s="41">
        <f t="shared" si="0"/>
        <v>0</v>
      </c>
      <c r="I18" s="52"/>
      <c r="J18" s="53"/>
      <c r="K18" s="53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4">
        <f t="shared" si="0"/>
        <v>180642060</v>
      </c>
      <c r="I19" s="62">
        <f>3900000+4320000+125887110+24250000-344442</f>
        <v>158012668</v>
      </c>
      <c r="J19" s="63">
        <f>3096237+20620</f>
        <v>3116857</v>
      </c>
      <c r="K19" s="42">
        <v>19512535</v>
      </c>
    </row>
    <row r="20" spans="1:11" s="26" customFormat="1" ht="12" customHeight="1" thickBot="1" x14ac:dyDescent="0.25">
      <c r="A20" s="45" t="s">
        <v>40</v>
      </c>
      <c r="B20" s="46" t="s">
        <v>41</v>
      </c>
      <c r="C20" s="47"/>
      <c r="D20" s="48">
        <f>374405+16502729</f>
        <v>16877134</v>
      </c>
      <c r="E20" s="64"/>
      <c r="F20" s="65"/>
      <c r="G20" s="65"/>
      <c r="H20" s="51">
        <f t="shared" si="0"/>
        <v>399535</v>
      </c>
      <c r="I20" s="66"/>
      <c r="J20" s="67"/>
      <c r="K20" s="67">
        <v>399535</v>
      </c>
    </row>
    <row r="21" spans="1:11" s="26" customFormat="1" ht="12" customHeight="1" thickBot="1" x14ac:dyDescent="0.25">
      <c r="A21" s="20" t="s">
        <v>42</v>
      </c>
      <c r="B21" s="68" t="s">
        <v>43</v>
      </c>
      <c r="C21" s="55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13442271</v>
      </c>
      <c r="I21" s="25">
        <f>+I22+I23+I24+I25+I26</f>
        <v>13442271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9"/>
      <c r="F22" s="70"/>
      <c r="G22" s="70"/>
      <c r="H22" s="58">
        <f t="shared" si="0"/>
        <v>0</v>
      </c>
      <c r="I22" s="71"/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1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61">
        <f>SUM(E24:G24)</f>
        <v>0</v>
      </c>
      <c r="E24" s="39"/>
      <c r="F24" s="40"/>
      <c r="G24" s="40"/>
      <c r="H24" s="41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61">
        <f>SUM(E25:G25)</f>
        <v>0</v>
      </c>
      <c r="E25" s="39"/>
      <c r="F25" s="40"/>
      <c r="G25" s="40"/>
      <c r="H25" s="41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61">
        <f>SUM(E26:G26)+15179276+93705029+216916507+202150930</f>
        <v>516569766</v>
      </c>
      <c r="E26" s="39">
        <f>3797300-15179276</f>
        <v>-11381976</v>
      </c>
      <c r="F26" s="40"/>
      <c r="G26" s="40"/>
      <c r="H26" s="41">
        <f t="shared" si="0"/>
        <v>13442271</v>
      </c>
      <c r="I26" s="74">
        <f>5866130+3779393+3796748</f>
        <v>13442271</v>
      </c>
      <c r="J26" s="42"/>
      <c r="K26" s="42"/>
    </row>
    <row r="27" spans="1:11" s="26" customFormat="1" ht="12" customHeight="1" thickBot="1" x14ac:dyDescent="0.25">
      <c r="A27" s="45" t="s">
        <v>54</v>
      </c>
      <c r="B27" s="75" t="s">
        <v>55</v>
      </c>
      <c r="C27" s="47">
        <v>71149405</v>
      </c>
      <c r="D27" s="76">
        <f>SUM(E27:G27)+91545029+214128350+202150930</f>
        <v>511621609</v>
      </c>
      <c r="E27" s="64">
        <v>3797300</v>
      </c>
      <c r="F27" s="65"/>
      <c r="G27" s="65"/>
      <c r="H27" s="51">
        <f t="shared" si="0"/>
        <v>13442271</v>
      </c>
      <c r="I27" s="66">
        <f>9645523+3796748</f>
        <v>13442271</v>
      </c>
      <c r="J27" s="67"/>
      <c r="K27" s="67"/>
    </row>
    <row r="28" spans="1:11" s="26" customFormat="1" ht="12" customHeight="1" thickBot="1" x14ac:dyDescent="0.25">
      <c r="A28" s="20" t="s">
        <v>56</v>
      </c>
      <c r="B28" s="68" t="s">
        <v>57</v>
      </c>
      <c r="C28" s="55">
        <f>C29+C33+C34+C35</f>
        <v>356945262</v>
      </c>
      <c r="D28" s="23">
        <f>SUM(D29)+SUM(D32:D35)</f>
        <v>366490000</v>
      </c>
      <c r="E28" s="77">
        <f>+E29+E33+E34+E35</f>
        <v>329390000</v>
      </c>
      <c r="F28" s="78">
        <f>+F29+F33+F34+F35</f>
        <v>0</v>
      </c>
      <c r="G28" s="78">
        <f>+G29+G33+G34+G35</f>
        <v>0</v>
      </c>
      <c r="H28" s="24">
        <f t="shared" si="0"/>
        <v>352658000</v>
      </c>
      <c r="I28" s="79">
        <f>+I29+I33+I34+I35</f>
        <v>352658000</v>
      </c>
      <c r="J28" s="80">
        <f>+J29+J33+J34+J35</f>
        <v>0</v>
      </c>
      <c r="K28" s="80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1"/>
      <c r="G29" s="81"/>
      <c r="H29" s="33">
        <f t="shared" si="0"/>
        <v>308654000</v>
      </c>
      <c r="I29" s="82">
        <f>SUM(I30:I32)</f>
        <v>308654000</v>
      </c>
      <c r="J29" s="83"/>
      <c r="K29" s="83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61">
        <f>SUM(E30:G30)</f>
        <v>78990000</v>
      </c>
      <c r="E30" s="49">
        <f>8990000+70000000</f>
        <v>78990000</v>
      </c>
      <c r="F30" s="50"/>
      <c r="G30" s="50"/>
      <c r="H30" s="41">
        <f t="shared" si="0"/>
        <v>77500000</v>
      </c>
      <c r="I30" s="52">
        <f>7500000+70000000</f>
        <v>77500000</v>
      </c>
      <c r="J30" s="53"/>
      <c r="K30" s="53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9">
        <f>203840000+10000000</f>
        <v>213840000</v>
      </c>
      <c r="F31" s="50"/>
      <c r="G31" s="50"/>
      <c r="H31" s="41">
        <f t="shared" si="0"/>
        <v>231154000</v>
      </c>
      <c r="I31" s="52">
        <v>231154000</v>
      </c>
      <c r="J31" s="53"/>
      <c r="K31" s="53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61">
        <f>SUM(E32:G32)</f>
        <v>0</v>
      </c>
      <c r="E32" s="39"/>
      <c r="F32" s="40"/>
      <c r="G32" s="40"/>
      <c r="H32" s="41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61">
        <f>SUM(E33:G33)</f>
        <v>27000000</v>
      </c>
      <c r="E33" s="49">
        <f>27000000</f>
        <v>27000000</v>
      </c>
      <c r="F33" s="50"/>
      <c r="G33" s="50"/>
      <c r="H33" s="41">
        <f t="shared" si="0"/>
        <v>28000000</v>
      </c>
      <c r="I33" s="52">
        <v>28000000</v>
      </c>
      <c r="J33" s="53"/>
      <c r="K33" s="53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61">
        <f>SUM(E34:G34)-4000000</f>
        <v>60000</v>
      </c>
      <c r="E34" s="49">
        <v>4060000</v>
      </c>
      <c r="F34" s="50"/>
      <c r="G34" s="50"/>
      <c r="H34" s="41">
        <f t="shared" si="0"/>
        <v>4000</v>
      </c>
      <c r="I34" s="52">
        <f>4000+4500000-4500000</f>
        <v>4000</v>
      </c>
      <c r="J34" s="53"/>
      <c r="K34" s="53"/>
    </row>
    <row r="35" spans="1:11" s="26" customFormat="1" ht="12" customHeight="1" thickBot="1" x14ac:dyDescent="0.25">
      <c r="A35" s="45" t="s">
        <v>70</v>
      </c>
      <c r="B35" s="75" t="s">
        <v>71</v>
      </c>
      <c r="C35" s="47">
        <v>5006079</v>
      </c>
      <c r="D35" s="76">
        <f>SUM(E35:G35)+4000000+2100000</f>
        <v>11600000</v>
      </c>
      <c r="E35" s="64">
        <v>5500000</v>
      </c>
      <c r="F35" s="65"/>
      <c r="G35" s="65"/>
      <c r="H35" s="51">
        <f t="shared" si="0"/>
        <v>16000000</v>
      </c>
      <c r="I35" s="66">
        <f>1500000+2000000+1000000+7000000+4500000</f>
        <v>16000000</v>
      </c>
      <c r="J35" s="67"/>
      <c r="K35" s="67"/>
    </row>
    <row r="36" spans="1:11" s="26" customFormat="1" ht="12" customHeight="1" thickBot="1" x14ac:dyDescent="0.25">
      <c r="A36" s="20" t="s">
        <v>72</v>
      </c>
      <c r="B36" s="68" t="s">
        <v>73</v>
      </c>
      <c r="C36" s="55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434983575</v>
      </c>
      <c r="I36" s="25">
        <f>SUM(I37:I47)</f>
        <v>40932127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4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5">
        <v>12159000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4">
        <f t="shared" si="0"/>
        <v>74735980</v>
      </c>
      <c r="I38" s="74">
        <f>13910169+100000+62992</f>
        <v>14073161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1">
        <f t="shared" si="0"/>
        <v>103069200</v>
      </c>
      <c r="I39" s="74">
        <f>500000+300000+50000+1400000+947000+300000+52200</f>
        <v>3549200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0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0"/>
        <v>179085653</v>
      </c>
      <c r="I41" s="74"/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4">
        <f t="shared" si="0"/>
        <v>45481578</v>
      </c>
      <c r="I42" s="74">
        <f>3283000+5162000+81000+13500+378000+81000+14094+17008</f>
        <v>9029602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0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0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0"/>
        <v>0</v>
      </c>
      <c r="I45" s="74"/>
      <c r="J45" s="42"/>
      <c r="K45" s="34"/>
    </row>
    <row r="46" spans="1:11" s="26" customFormat="1" ht="12" customHeight="1" x14ac:dyDescent="0.2">
      <c r="A46" s="45" t="s">
        <v>92</v>
      </c>
      <c r="B46" s="75" t="s">
        <v>93</v>
      </c>
      <c r="C46" s="37">
        <v>812271</v>
      </c>
      <c r="D46" s="61">
        <f>SUM(E46:G46)</f>
        <v>500000</v>
      </c>
      <c r="E46" s="64">
        <f>500000</f>
        <v>500000</v>
      </c>
      <c r="F46" s="65"/>
      <c r="G46" s="32"/>
      <c r="H46" s="41">
        <f t="shared" si="0"/>
        <v>500000</v>
      </c>
      <c r="I46" s="66">
        <v>500000</v>
      </c>
      <c r="J46" s="67"/>
      <c r="K46" s="34"/>
    </row>
    <row r="47" spans="1:11" s="26" customFormat="1" ht="12" customHeight="1" thickBot="1" x14ac:dyDescent="0.25">
      <c r="A47" s="45" t="s">
        <v>94</v>
      </c>
      <c r="B47" s="46" t="s">
        <v>95</v>
      </c>
      <c r="C47" s="47">
        <v>1564195</v>
      </c>
      <c r="D47" s="48">
        <f>SUM(E47:G47)+200318+416514+1343395</f>
        <v>2764227</v>
      </c>
      <c r="E47" s="64">
        <f>704000</f>
        <v>704000</v>
      </c>
      <c r="F47" s="65">
        <v>100000</v>
      </c>
      <c r="G47" s="32"/>
      <c r="H47" s="86">
        <f t="shared" si="0"/>
        <v>1261164</v>
      </c>
      <c r="I47" s="66">
        <f>60000+600000+501164</f>
        <v>1161164</v>
      </c>
      <c r="J47" s="67">
        <v>100000</v>
      </c>
      <c r="K47" s="34"/>
    </row>
    <row r="48" spans="1:11" s="26" customFormat="1" ht="12" customHeight="1" thickBot="1" x14ac:dyDescent="0.25">
      <c r="A48" s="20" t="s">
        <v>96</v>
      </c>
      <c r="B48" s="68" t="s">
        <v>97</v>
      </c>
      <c r="C48" s="55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0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58">
        <f t="shared" si="0"/>
        <v>0</v>
      </c>
      <c r="I49" s="85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61">
        <f>SUM(E50:G50)+22000000</f>
        <v>47179000</v>
      </c>
      <c r="E50" s="39">
        <f>25179000</f>
        <v>25179000</v>
      </c>
      <c r="F50" s="40"/>
      <c r="G50" s="40"/>
      <c r="H50" s="41">
        <f t="shared" si="0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61">
        <v>250000</v>
      </c>
      <c r="E51" s="39"/>
      <c r="F51" s="40"/>
      <c r="G51" s="40"/>
      <c r="H51" s="41">
        <f t="shared" si="0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61">
        <f>SUM(E52:G52)</f>
        <v>0</v>
      </c>
      <c r="E52" s="39"/>
      <c r="F52" s="40"/>
      <c r="G52" s="40"/>
      <c r="H52" s="41">
        <f t="shared" si="0"/>
        <v>0</v>
      </c>
      <c r="I52" s="74"/>
      <c r="J52" s="42"/>
      <c r="K52" s="42"/>
    </row>
    <row r="53" spans="1:11" s="26" customFormat="1" ht="12" customHeight="1" thickBot="1" x14ac:dyDescent="0.25">
      <c r="A53" s="45" t="s">
        <v>106</v>
      </c>
      <c r="B53" s="46" t="s">
        <v>107</v>
      </c>
      <c r="C53" s="47"/>
      <c r="D53" s="76">
        <f>SUM(E53:G53)</f>
        <v>0</v>
      </c>
      <c r="E53" s="64"/>
      <c r="F53" s="65"/>
      <c r="G53" s="65"/>
      <c r="H53" s="87">
        <f t="shared" si="0"/>
        <v>0</v>
      </c>
      <c r="I53" s="66"/>
      <c r="J53" s="67"/>
      <c r="K53" s="67"/>
    </row>
    <row r="54" spans="1:11" s="26" customFormat="1" ht="12" customHeight="1" thickBot="1" x14ac:dyDescent="0.25">
      <c r="A54" s="20" t="s">
        <v>108</v>
      </c>
      <c r="B54" s="68" t="s">
        <v>109</v>
      </c>
      <c r="C54" s="55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8">
        <f t="shared" si="0"/>
        <v>4766000</v>
      </c>
      <c r="I54" s="25">
        <f>SUM(I55:I57)</f>
        <v>4766000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4">
        <f>SUM(E55:G55)</f>
        <v>0</v>
      </c>
      <c r="E55" s="56"/>
      <c r="F55" s="57"/>
      <c r="G55" s="57"/>
      <c r="H55" s="89">
        <f t="shared" si="0"/>
        <v>0</v>
      </c>
      <c r="I55" s="59"/>
      <c r="J55" s="60"/>
      <c r="K55" s="60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0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0"/>
        <v>2900000</v>
      </c>
      <c r="I57" s="74">
        <v>2900000</v>
      </c>
      <c r="J57" s="42"/>
      <c r="K57" s="42"/>
    </row>
    <row r="58" spans="1:11" s="26" customFormat="1" ht="12" customHeight="1" thickBot="1" x14ac:dyDescent="0.25">
      <c r="A58" s="45" t="s">
        <v>116</v>
      </c>
      <c r="B58" s="46" t="s">
        <v>117</v>
      </c>
      <c r="C58" s="47"/>
      <c r="D58" s="76">
        <f>SUM(E58:G58)</f>
        <v>0</v>
      </c>
      <c r="E58" s="90"/>
      <c r="F58" s="91"/>
      <c r="G58" s="91"/>
      <c r="H58" s="51">
        <f t="shared" si="0"/>
        <v>0</v>
      </c>
      <c r="I58" s="92"/>
      <c r="J58" s="93"/>
      <c r="K58" s="93"/>
    </row>
    <row r="59" spans="1:11" s="26" customFormat="1" ht="12" customHeight="1" thickBot="1" x14ac:dyDescent="0.25">
      <c r="A59" s="20" t="s">
        <v>118</v>
      </c>
      <c r="B59" s="54" t="s">
        <v>119</v>
      </c>
      <c r="C59" s="55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0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4">
        <f>SUM(E60:G60)</f>
        <v>0</v>
      </c>
      <c r="E60" s="39"/>
      <c r="F60" s="40"/>
      <c r="G60" s="40"/>
      <c r="H60" s="58">
        <f t="shared" si="0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0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0"/>
        <v>0</v>
      </c>
      <c r="I62" s="74"/>
      <c r="J62" s="42"/>
      <c r="K62" s="42"/>
    </row>
    <row r="63" spans="1:11" s="26" customFormat="1" ht="12" customHeight="1" thickBot="1" x14ac:dyDescent="0.25">
      <c r="A63" s="45" t="s">
        <v>126</v>
      </c>
      <c r="B63" s="46" t="s">
        <v>127</v>
      </c>
      <c r="C63" s="47"/>
      <c r="D63" s="48">
        <f>SUM(E63:G63)</f>
        <v>0</v>
      </c>
      <c r="E63" s="39"/>
      <c r="F63" s="40"/>
      <c r="G63" s="40"/>
      <c r="H63" s="87">
        <f t="shared" si="0"/>
        <v>0</v>
      </c>
      <c r="I63" s="74"/>
      <c r="J63" s="42"/>
      <c r="K63" s="42"/>
    </row>
    <row r="64" spans="1:11" s="26" customFormat="1" ht="12" customHeight="1" thickBot="1" x14ac:dyDescent="0.25">
      <c r="A64" s="94" t="s">
        <v>128</v>
      </c>
      <c r="B64" s="68" t="s">
        <v>129</v>
      </c>
      <c r="C64" s="23">
        <f>C59+C54+C48+C36+C28+C21+C14+C7</f>
        <v>2639272060</v>
      </c>
      <c r="D64" s="23">
        <f>D59+D54+D48+D36+D28+D21+D14+D7</f>
        <v>2929720479</v>
      </c>
      <c r="E64" s="77">
        <f>+E7+E14+E21+E28+E36+E48+E54+E59</f>
        <v>1391439714</v>
      </c>
      <c r="F64" s="78">
        <f>+F7+F14+F21+F28+F36+F48+F54+F59</f>
        <v>9416500</v>
      </c>
      <c r="G64" s="78">
        <f>+G7+G14+G21+G28+G36+G48+G54+G59</f>
        <v>390751178</v>
      </c>
      <c r="H64" s="24">
        <f t="shared" si="0"/>
        <v>2336728582</v>
      </c>
      <c r="I64" s="79">
        <f>+I7+I14+I21+I28+I36+I48+I54+I59</f>
        <v>1920047742</v>
      </c>
      <c r="J64" s="80">
        <f>+J7+J14+J21+J28+J36+J48+J54+J59</f>
        <v>11536297</v>
      </c>
      <c r="K64" s="80">
        <f>+K7+K14+K21+K28+K36+K48+K54+K59</f>
        <v>405144543</v>
      </c>
    </row>
    <row r="65" spans="1:11" s="26" customFormat="1" ht="12" customHeight="1" thickBot="1" x14ac:dyDescent="0.25">
      <c r="A65" s="95" t="s">
        <v>130</v>
      </c>
      <c r="B65" s="54" t="s">
        <v>131</v>
      </c>
      <c r="C65" s="96">
        <f>SUM(C66:C68)</f>
        <v>20303000</v>
      </c>
      <c r="D65" s="97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0"/>
        <v>193478462</v>
      </c>
      <c r="I65" s="25">
        <f>SUM(I66:I68)</f>
        <v>193478462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0"/>
        <v>93478462</v>
      </c>
      <c r="I66" s="74">
        <v>93478462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61">
        <f>SUM(E67:G67)</f>
        <v>100000000</v>
      </c>
      <c r="E67" s="39">
        <v>100000000</v>
      </c>
      <c r="F67" s="40"/>
      <c r="G67" s="40"/>
      <c r="H67" s="41">
        <f t="shared" si="0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5" t="s">
        <v>136</v>
      </c>
      <c r="B68" s="98" t="s">
        <v>137</v>
      </c>
      <c r="C68" s="47"/>
      <c r="D68" s="76">
        <f>SUM(E68:G68)</f>
        <v>0</v>
      </c>
      <c r="E68" s="39"/>
      <c r="F68" s="40"/>
      <c r="G68" s="40"/>
      <c r="H68" s="87">
        <f t="shared" si="0"/>
        <v>0</v>
      </c>
      <c r="I68" s="74"/>
      <c r="J68" s="42"/>
      <c r="K68" s="42"/>
    </row>
    <row r="69" spans="1:11" s="26" customFormat="1" ht="12" customHeight="1" thickBot="1" x14ac:dyDescent="0.25">
      <c r="A69" s="95" t="s">
        <v>138</v>
      </c>
      <c r="B69" s="54" t="s">
        <v>139</v>
      </c>
      <c r="C69" s="99">
        <f>SUM(C70:C73)</f>
        <v>0</v>
      </c>
      <c r="D69" s="99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0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58">
        <f t="shared" si="0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1">
        <f>SUM(E71:G71)</f>
        <v>0</v>
      </c>
      <c r="E71" s="39"/>
      <c r="F71" s="40"/>
      <c r="G71" s="40"/>
      <c r="H71" s="73">
        <f t="shared" si="0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1">
        <f>SUM(E72:G72)</f>
        <v>0</v>
      </c>
      <c r="E72" s="39"/>
      <c r="F72" s="40"/>
      <c r="G72" s="40"/>
      <c r="H72" s="73">
        <f t="shared" ref="H72:H89" si="1">SUM(I72:K72)</f>
        <v>0</v>
      </c>
      <c r="I72" s="74"/>
      <c r="J72" s="42"/>
      <c r="K72" s="42"/>
    </row>
    <row r="73" spans="1:11" s="26" customFormat="1" ht="12" customHeight="1" thickBot="1" x14ac:dyDescent="0.25">
      <c r="A73" s="45" t="s">
        <v>146</v>
      </c>
      <c r="B73" s="46" t="s">
        <v>147</v>
      </c>
      <c r="C73" s="47"/>
      <c r="D73" s="76">
        <f>SUM(E73:G73)</f>
        <v>0</v>
      </c>
      <c r="E73" s="39"/>
      <c r="F73" s="40"/>
      <c r="G73" s="40"/>
      <c r="H73" s="87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5" t="s">
        <v>148</v>
      </c>
      <c r="B74" s="54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100">
        <f t="shared" si="1"/>
        <v>620677200</v>
      </c>
      <c r="I75" s="74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5" t="s">
        <v>152</v>
      </c>
      <c r="B76" s="46" t="s">
        <v>153</v>
      </c>
      <c r="C76" s="47"/>
      <c r="D76" s="76">
        <f>SUM(E76:G76)</f>
        <v>0</v>
      </c>
      <c r="E76" s="39"/>
      <c r="F76" s="40"/>
      <c r="G76" s="40"/>
      <c r="H76" s="87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5" t="s">
        <v>154</v>
      </c>
      <c r="B77" s="54" t="s">
        <v>155</v>
      </c>
      <c r="C77" s="101">
        <f>SUM(C78:C80)</f>
        <v>35164932</v>
      </c>
      <c r="D77" s="99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58">
        <f t="shared" si="1"/>
        <v>0</v>
      </c>
      <c r="I78" s="74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1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5" t="s">
        <v>160</v>
      </c>
      <c r="B80" s="46" t="s">
        <v>161</v>
      </c>
      <c r="C80" s="47"/>
      <c r="D80" s="76">
        <f>SUM(E80:G80)</f>
        <v>0</v>
      </c>
      <c r="E80" s="39"/>
      <c r="F80" s="40"/>
      <c r="G80" s="40"/>
      <c r="H80" s="87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5" t="s">
        <v>162</v>
      </c>
      <c r="B81" s="54" t="s">
        <v>163</v>
      </c>
      <c r="C81" s="99">
        <f>SUM(C82:C85)</f>
        <v>0</v>
      </c>
      <c r="D81" s="99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2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58">
        <f t="shared" si="1"/>
        <v>0</v>
      </c>
      <c r="I82" s="74"/>
      <c r="J82" s="42"/>
      <c r="K82" s="42"/>
    </row>
    <row r="83" spans="1:11" s="26" customFormat="1" ht="12" customHeight="1" x14ac:dyDescent="0.2">
      <c r="A83" s="103" t="s">
        <v>166</v>
      </c>
      <c r="B83" s="36" t="s">
        <v>167</v>
      </c>
      <c r="C83" s="37"/>
      <c r="D83" s="61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3" t="s">
        <v>168</v>
      </c>
      <c r="B84" s="36" t="s">
        <v>169</v>
      </c>
      <c r="C84" s="37"/>
      <c r="D84" s="61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4" t="s">
        <v>170</v>
      </c>
      <c r="B85" s="46" t="s">
        <v>171</v>
      </c>
      <c r="C85" s="47"/>
      <c r="D85" s="76">
        <f t="shared" si="2"/>
        <v>0</v>
      </c>
      <c r="E85" s="39"/>
      <c r="F85" s="40"/>
      <c r="G85" s="40"/>
      <c r="H85" s="87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5" t="s">
        <v>172</v>
      </c>
      <c r="B86" s="54" t="s">
        <v>173</v>
      </c>
      <c r="C86" s="105"/>
      <c r="D86" s="106">
        <f t="shared" si="2"/>
        <v>0</v>
      </c>
      <c r="E86" s="107"/>
      <c r="F86" s="108"/>
      <c r="G86" s="108"/>
      <c r="H86" s="24">
        <f t="shared" si="1"/>
        <v>0</v>
      </c>
      <c r="I86" s="109"/>
      <c r="J86" s="110"/>
      <c r="K86" s="110"/>
    </row>
    <row r="87" spans="1:11" s="26" customFormat="1" ht="12" customHeight="1" thickBot="1" x14ac:dyDescent="0.25">
      <c r="A87" s="95" t="s">
        <v>174</v>
      </c>
      <c r="B87" s="54" t="s">
        <v>175</v>
      </c>
      <c r="C87" s="105"/>
      <c r="D87" s="23">
        <f t="shared" si="2"/>
        <v>0</v>
      </c>
      <c r="E87" s="107"/>
      <c r="F87" s="108"/>
      <c r="G87" s="108"/>
      <c r="H87" s="24">
        <f t="shared" si="1"/>
        <v>0</v>
      </c>
      <c r="I87" s="109"/>
      <c r="J87" s="110"/>
      <c r="K87" s="110"/>
    </row>
    <row r="88" spans="1:11" s="26" customFormat="1" ht="12" customHeight="1" thickBot="1" x14ac:dyDescent="0.25">
      <c r="A88" s="95" t="s">
        <v>176</v>
      </c>
      <c r="B88" s="111" t="s">
        <v>177</v>
      </c>
      <c r="C88" s="96">
        <f>C87+C86+C81+C77+C74+C69+C65</f>
        <v>320418122</v>
      </c>
      <c r="D88" s="23">
        <f>D87+D86+D81+D77+D74+D69+D65</f>
        <v>480499415</v>
      </c>
      <c r="E88" s="77">
        <f>+E65+E69+E74+E77+E81+E87+E86</f>
        <v>433431423</v>
      </c>
      <c r="F88" s="78">
        <f>+F65+F69+F74+F77+F81+F87+F86</f>
        <v>447404</v>
      </c>
      <c r="G88" s="78">
        <f>+G65+G69+G74+G77+G81+G87+G86</f>
        <v>3220588</v>
      </c>
      <c r="H88" s="24">
        <f t="shared" si="1"/>
        <v>814155662</v>
      </c>
      <c r="I88" s="79">
        <f>+I65+I69+I74+I77+I81+I87+I86</f>
        <v>787982192</v>
      </c>
      <c r="J88" s="80">
        <f>+J65+J69+J74+J77+J81+J87+J86</f>
        <v>3212174</v>
      </c>
      <c r="K88" s="80">
        <f>+K65+K69+K74+K77+K81+K87+K86</f>
        <v>22961296</v>
      </c>
    </row>
    <row r="89" spans="1:11" s="26" customFormat="1" ht="12" customHeight="1" thickBot="1" x14ac:dyDescent="0.25">
      <c r="A89" s="112" t="s">
        <v>178</v>
      </c>
      <c r="B89" s="113" t="s">
        <v>179</v>
      </c>
      <c r="C89" s="96">
        <f>C64+C88</f>
        <v>2959690182</v>
      </c>
      <c r="D89" s="23">
        <f>D64+D88</f>
        <v>3410219894</v>
      </c>
      <c r="E89" s="77">
        <f>+E64+E88</f>
        <v>1824871137</v>
      </c>
      <c r="F89" s="78">
        <f>+F64+F88</f>
        <v>9863904</v>
      </c>
      <c r="G89" s="78">
        <f>+G64+G88</f>
        <v>393971766</v>
      </c>
      <c r="H89" s="24">
        <f t="shared" si="1"/>
        <v>3150884244</v>
      </c>
      <c r="I89" s="79">
        <f>+I64+I88</f>
        <v>2708029934</v>
      </c>
      <c r="J89" s="80">
        <f>+J64+J88</f>
        <v>14748471</v>
      </c>
      <c r="K89" s="80">
        <f>+K64+K88</f>
        <v>428105839</v>
      </c>
    </row>
    <row r="90" spans="1:11" s="26" customFormat="1" ht="12" customHeight="1" x14ac:dyDescent="0.2">
      <c r="A90" s="114"/>
      <c r="B90" s="115"/>
      <c r="C90" s="116"/>
      <c r="D90" s="117"/>
      <c r="E90" s="118"/>
      <c r="F90" s="118"/>
      <c r="G90" s="118"/>
      <c r="H90" s="119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20" t="s">
        <v>181</v>
      </c>
      <c r="B92" s="120"/>
      <c r="C92" s="121"/>
      <c r="D92" s="6"/>
      <c r="E92" s="6"/>
      <c r="F92" s="6"/>
      <c r="G92" s="6"/>
      <c r="H92" s="122" t="str">
        <f>H4</f>
        <v>Forintban!</v>
      </c>
    </row>
    <row r="93" spans="1:11" s="26" customFormat="1" ht="36.75" customHeight="1" thickBot="1" x14ac:dyDescent="0.25">
      <c r="A93" s="9" t="s">
        <v>182</v>
      </c>
      <c r="B93" s="123" t="s">
        <v>183</v>
      </c>
      <c r="C93" s="124" t="s">
        <v>6</v>
      </c>
      <c r="D93" s="125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6" t="s">
        <v>10</v>
      </c>
      <c r="C94" s="96" t="s">
        <v>11</v>
      </c>
      <c r="D94" s="127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8" t="s">
        <v>14</v>
      </c>
      <c r="B95" s="129" t="s">
        <v>184</v>
      </c>
      <c r="C95" s="96">
        <f>SUM(C96:C100)+SUM(C113)</f>
        <v>2510000576</v>
      </c>
      <c r="D95" s="23">
        <f>SUM(D96:D100)+SUM(D113)</f>
        <v>2537502119</v>
      </c>
      <c r="E95" s="106">
        <f>+E96+E97+E98+E99+E100+E113</f>
        <v>336688965</v>
      </c>
      <c r="F95" s="18">
        <f>+F96+F97+F98+F99+F100+F113</f>
        <v>223822850</v>
      </c>
      <c r="G95" s="96">
        <f>G96+G97+G98+G99+G100+G113</f>
        <v>1388014694</v>
      </c>
      <c r="H95" s="130">
        <f>SUM(I95:K95)</f>
        <v>2382507215</v>
      </c>
      <c r="I95" s="131">
        <f>+I96+I97+I98+I99+I100+I113</f>
        <v>635068251</v>
      </c>
      <c r="J95" s="132">
        <f>+J96+J97+J98+J99+J100+J113</f>
        <v>239430458</v>
      </c>
      <c r="K95" s="88">
        <f>K96+K97+K98+K99+K100+K113</f>
        <v>1508008506</v>
      </c>
    </row>
    <row r="96" spans="1:11" s="26" customFormat="1" ht="12.95" customHeight="1" x14ac:dyDescent="0.2">
      <c r="A96" s="133" t="s">
        <v>16</v>
      </c>
      <c r="B96" s="134" t="s">
        <v>185</v>
      </c>
      <c r="C96" s="135">
        <v>1207786084</v>
      </c>
      <c r="D96" s="84">
        <f>SUM(E96:G96)+252096521+85501355+27232396-1393308+7410662+5711096+12960546+166800</f>
        <v>1094113234</v>
      </c>
      <c r="E96" s="136">
        <f>25364000+485000+6010000+3749000+165142000+48000+105000-275033584+150179</f>
        <v>-73980405</v>
      </c>
      <c r="F96" s="137">
        <v>119212000</v>
      </c>
      <c r="G96" s="137">
        <v>659195571</v>
      </c>
      <c r="H96" s="138">
        <f>SUM(I96:K96)</f>
        <v>981036950</v>
      </c>
      <c r="I96" s="139">
        <f>2854500+25097896+75000+16116992+1182990+2491000+1016699-198000</f>
        <v>48637077</v>
      </c>
      <c r="J96" s="140">
        <f>2528076+481000+134654515+2215000+152400</f>
        <v>140030991</v>
      </c>
      <c r="K96" s="141">
        <f>784492352+662383+6760147+80000+374000</f>
        <v>792368882</v>
      </c>
    </row>
    <row r="97" spans="1:11" ht="16.5" customHeight="1" x14ac:dyDescent="0.25">
      <c r="A97" s="35" t="s">
        <v>18</v>
      </c>
      <c r="B97" s="142" t="s">
        <v>186</v>
      </c>
      <c r="C97" s="143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8">
        <f t="shared" ref="H97:H156" si="3">SUM(I97:K97)</f>
        <v>206935735</v>
      </c>
      <c r="I97" s="74">
        <f>500965+4771305+13275+17258+2940000+14000+207615+1015000+283238-34749</f>
        <v>9727907</v>
      </c>
      <c r="J97" s="42">
        <f>443678+114000+28757160+461687+62043</f>
        <v>29838568</v>
      </c>
      <c r="K97" s="63">
        <f>165847404+144152+1290734+14040+72930</f>
        <v>167369260</v>
      </c>
    </row>
    <row r="98" spans="1:11" x14ac:dyDescent="0.25">
      <c r="A98" s="35" t="s">
        <v>20</v>
      </c>
      <c r="B98" s="142" t="s">
        <v>187</v>
      </c>
      <c r="C98" s="144">
        <v>776462763</v>
      </c>
      <c r="D98" s="38">
        <f>SUM(E98:G98)+41579904+1600000+22320920+28158088+9295882+11813400+570939+10565807+4029458+20547308</f>
        <v>953351741</v>
      </c>
      <c r="E98" s="6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5">
        <v>52037350</v>
      </c>
      <c r="G98" s="40">
        <v>573988262</v>
      </c>
      <c r="H98" s="138">
        <f t="shared" si="3"/>
        <v>879726149</v>
      </c>
      <c r="I98" s="66">
        <f>13447475+835000+16099000+50000+52909601+3082677+6787092+2456000+4504030+871220+397000+194467+34163000+50473064+34200000+3285067+156511+9000000+563000+17207888+2681000+3300000+17042731+48545760+500000+381000+314356+178500+77000-37621053+63500</f>
        <v>286144886</v>
      </c>
      <c r="J98" s="67">
        <f>4096000+324000+352000+40114003+137126+419550-152400+20620</f>
        <v>45310899</v>
      </c>
      <c r="K98" s="63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5" t="s">
        <v>188</v>
      </c>
      <c r="C99" s="143">
        <v>72060693</v>
      </c>
      <c r="D99" s="38">
        <f>SUM(E99:G99)-6901260-4000000</f>
        <v>77248740</v>
      </c>
      <c r="E99" s="64">
        <f>70980000-5080000-2000000</f>
        <v>63900000</v>
      </c>
      <c r="F99" s="65">
        <v>24250000</v>
      </c>
      <c r="G99" s="65"/>
      <c r="H99" s="146">
        <f t="shared" si="3"/>
        <v>97250000</v>
      </c>
      <c r="I99" s="66">
        <f>69500000+3500000</f>
        <v>73000000</v>
      </c>
      <c r="J99" s="67">
        <v>24250000</v>
      </c>
      <c r="K99" s="147"/>
    </row>
    <row r="100" spans="1:11" ht="12" customHeight="1" x14ac:dyDescent="0.25">
      <c r="A100" s="35" t="s">
        <v>189</v>
      </c>
      <c r="B100" s="148" t="s">
        <v>190</v>
      </c>
      <c r="C100" s="143">
        <v>181943556</v>
      </c>
      <c r="D100" s="38">
        <f>SUM(D101:D112)</f>
        <v>117690011</v>
      </c>
      <c r="E100" s="64">
        <f>SUM(E101:E112)</f>
        <v>76126000</v>
      </c>
      <c r="F100" s="65">
        <f>SUM(F101:F112)</f>
        <v>0</v>
      </c>
      <c r="G100" s="65"/>
      <c r="H100" s="146">
        <f t="shared" si="3"/>
        <v>152130903</v>
      </c>
      <c r="I100" s="66">
        <f>45183973+52959801+660000+100000+49357310+3869819</f>
        <v>152130903</v>
      </c>
      <c r="J100" s="67"/>
      <c r="K100" s="147"/>
    </row>
    <row r="101" spans="1:11" ht="12" customHeight="1" x14ac:dyDescent="0.25">
      <c r="A101" s="35" t="s">
        <v>26</v>
      </c>
      <c r="B101" s="142" t="s">
        <v>191</v>
      </c>
      <c r="C101" s="144">
        <v>6261128</v>
      </c>
      <c r="D101" s="38">
        <f>SUM(E101:G101)+1500+7242044+114463+2792500+6504</f>
        <v>10157011</v>
      </c>
      <c r="E101" s="64"/>
      <c r="F101" s="65"/>
      <c r="G101" s="65"/>
      <c r="H101" s="146">
        <f t="shared" si="3"/>
        <v>3969819</v>
      </c>
      <c r="I101" s="66">
        <f>100000+3869819</f>
        <v>3969819</v>
      </c>
      <c r="J101" s="67"/>
      <c r="K101" s="147"/>
    </row>
    <row r="102" spans="1:11" ht="12" customHeight="1" x14ac:dyDescent="0.25">
      <c r="A102" s="35" t="s">
        <v>192</v>
      </c>
      <c r="B102" s="149" t="s">
        <v>193</v>
      </c>
      <c r="C102" s="144"/>
      <c r="D102" s="38">
        <f>SUM(E102:G102)</f>
        <v>0</v>
      </c>
      <c r="E102" s="64"/>
      <c r="F102" s="65"/>
      <c r="G102" s="65"/>
      <c r="H102" s="138">
        <f t="shared" si="3"/>
        <v>0</v>
      </c>
      <c r="I102" s="66"/>
      <c r="J102" s="67"/>
      <c r="K102" s="147"/>
    </row>
    <row r="103" spans="1:11" ht="12" customHeight="1" x14ac:dyDescent="0.25">
      <c r="A103" s="35" t="s">
        <v>194</v>
      </c>
      <c r="B103" s="149" t="s">
        <v>195</v>
      </c>
      <c r="C103" s="144"/>
      <c r="D103" s="38">
        <f>SUM(E103:G103)</f>
        <v>0</v>
      </c>
      <c r="E103" s="64"/>
      <c r="F103" s="65"/>
      <c r="G103" s="65"/>
      <c r="H103" s="138">
        <f t="shared" si="3"/>
        <v>0</v>
      </c>
      <c r="I103" s="66"/>
      <c r="J103" s="67"/>
      <c r="K103" s="147"/>
    </row>
    <row r="104" spans="1:11" ht="12" customHeight="1" x14ac:dyDescent="0.25">
      <c r="A104" s="35" t="s">
        <v>196</v>
      </c>
      <c r="B104" s="150" t="s">
        <v>197</v>
      </c>
      <c r="C104" s="151"/>
      <c r="D104" s="38">
        <f>SUM(E104:G104)</f>
        <v>0</v>
      </c>
      <c r="E104" s="64"/>
      <c r="F104" s="65"/>
      <c r="G104" s="65"/>
      <c r="H104" s="138">
        <f t="shared" si="3"/>
        <v>0</v>
      </c>
      <c r="I104" s="66"/>
      <c r="J104" s="67"/>
      <c r="K104" s="147"/>
    </row>
    <row r="105" spans="1:11" ht="12" customHeight="1" x14ac:dyDescent="0.25">
      <c r="A105" s="35" t="s">
        <v>198</v>
      </c>
      <c r="B105" s="152" t="s">
        <v>199</v>
      </c>
      <c r="C105" s="144"/>
      <c r="D105" s="38">
        <f>SUM(E105:G105)</f>
        <v>0</v>
      </c>
      <c r="E105" s="64"/>
      <c r="F105" s="65"/>
      <c r="G105" s="65"/>
      <c r="H105" s="138">
        <f t="shared" si="3"/>
        <v>0</v>
      </c>
      <c r="I105" s="66"/>
      <c r="J105" s="67"/>
      <c r="K105" s="147"/>
    </row>
    <row r="106" spans="1:11" ht="12" customHeight="1" x14ac:dyDescent="0.25">
      <c r="A106" s="35" t="s">
        <v>200</v>
      </c>
      <c r="B106" s="152" t="s">
        <v>201</v>
      </c>
      <c r="C106" s="144"/>
      <c r="D106" s="38">
        <f>SUM(E106:G106)</f>
        <v>0</v>
      </c>
      <c r="E106" s="64"/>
      <c r="F106" s="65"/>
      <c r="G106" s="65"/>
      <c r="H106" s="138">
        <f t="shared" si="3"/>
        <v>0</v>
      </c>
      <c r="I106" s="66"/>
      <c r="J106" s="67"/>
      <c r="K106" s="147"/>
    </row>
    <row r="107" spans="1:11" ht="12" customHeight="1" x14ac:dyDescent="0.25">
      <c r="A107" s="35" t="s">
        <v>202</v>
      </c>
      <c r="B107" s="150" t="s">
        <v>203</v>
      </c>
      <c r="C107" s="153">
        <v>113441217</v>
      </c>
      <c r="D107" s="38">
        <f>SUM(E107:G107)+60754-60754</f>
        <v>0</v>
      </c>
      <c r="E107" s="64"/>
      <c r="F107" s="65"/>
      <c r="G107" s="65"/>
      <c r="H107" s="138">
        <f t="shared" si="3"/>
        <v>660000</v>
      </c>
      <c r="I107" s="66">
        <v>660000</v>
      </c>
      <c r="J107" s="67"/>
      <c r="K107" s="147"/>
    </row>
    <row r="108" spans="1:11" ht="12" customHeight="1" x14ac:dyDescent="0.25">
      <c r="A108" s="35" t="s">
        <v>204</v>
      </c>
      <c r="B108" s="150" t="s">
        <v>205</v>
      </c>
      <c r="C108" s="151"/>
      <c r="D108" s="38">
        <f>SUM(E108:G108)</f>
        <v>0</v>
      </c>
      <c r="E108" s="64"/>
      <c r="F108" s="65"/>
      <c r="G108" s="65"/>
      <c r="H108" s="138">
        <f t="shared" si="3"/>
        <v>0</v>
      </c>
      <c r="I108" s="66"/>
      <c r="J108" s="67"/>
      <c r="K108" s="147"/>
    </row>
    <row r="109" spans="1:11" ht="12" customHeight="1" x14ac:dyDescent="0.25">
      <c r="A109" s="35" t="s">
        <v>206</v>
      </c>
      <c r="B109" s="152" t="s">
        <v>207</v>
      </c>
      <c r="C109" s="153"/>
      <c r="D109" s="38">
        <f>SUM(E109:G109)</f>
        <v>0</v>
      </c>
      <c r="E109" s="64"/>
      <c r="F109" s="65"/>
      <c r="G109" s="65"/>
      <c r="H109" s="138">
        <f t="shared" si="3"/>
        <v>0</v>
      </c>
      <c r="I109" s="66"/>
      <c r="J109" s="67"/>
      <c r="K109" s="147"/>
    </row>
    <row r="110" spans="1:11" ht="12" customHeight="1" x14ac:dyDescent="0.25">
      <c r="A110" s="154" t="s">
        <v>208</v>
      </c>
      <c r="B110" s="149" t="s">
        <v>209</v>
      </c>
      <c r="C110" s="153"/>
      <c r="D110" s="38">
        <f>SUM(E110:G110)</f>
        <v>0</v>
      </c>
      <c r="E110" s="64"/>
      <c r="F110" s="65"/>
      <c r="G110" s="65"/>
      <c r="H110" s="138">
        <f t="shared" si="3"/>
        <v>0</v>
      </c>
      <c r="I110" s="66"/>
      <c r="J110" s="67"/>
      <c r="K110" s="147"/>
    </row>
    <row r="111" spans="1:11" ht="12" customHeight="1" x14ac:dyDescent="0.25">
      <c r="A111" s="35" t="s">
        <v>210</v>
      </c>
      <c r="B111" s="149" t="s">
        <v>211</v>
      </c>
      <c r="C111" s="153"/>
      <c r="D111" s="38">
        <f>SUM(E111:G111)</f>
        <v>0</v>
      </c>
      <c r="E111" s="64"/>
      <c r="F111" s="65"/>
      <c r="G111" s="65"/>
      <c r="H111" s="138">
        <f t="shared" si="3"/>
        <v>0</v>
      </c>
      <c r="I111" s="66"/>
      <c r="J111" s="67"/>
      <c r="K111" s="147"/>
    </row>
    <row r="112" spans="1:11" ht="12" customHeight="1" x14ac:dyDescent="0.25">
      <c r="A112" s="45" t="s">
        <v>212</v>
      </c>
      <c r="B112" s="149" t="s">
        <v>213</v>
      </c>
      <c r="C112" s="153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5"/>
      <c r="H112" s="138">
        <f t="shared" si="3"/>
        <v>147501084</v>
      </c>
      <c r="I112" s="74">
        <f>5697126+16985629+22501218+52959801+660000+49357310-660000</f>
        <v>147501084</v>
      </c>
      <c r="J112" s="42"/>
      <c r="K112" s="147"/>
    </row>
    <row r="113" spans="1:11" ht="12" customHeight="1" x14ac:dyDescent="0.25">
      <c r="A113" s="35" t="s">
        <v>214</v>
      </c>
      <c r="B113" s="145" t="s">
        <v>215</v>
      </c>
      <c r="C113" s="155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38">
        <f t="shared" si="3"/>
        <v>65427478</v>
      </c>
      <c r="I113" s="74">
        <f>SUM(I114:I115)</f>
        <v>65427478</v>
      </c>
      <c r="J113" s="42"/>
      <c r="K113" s="63">
        <f>K114+K115</f>
        <v>0</v>
      </c>
    </row>
    <row r="114" spans="1:11" ht="12" customHeight="1" x14ac:dyDescent="0.25">
      <c r="A114" s="35" t="s">
        <v>216</v>
      </c>
      <c r="B114" s="142" t="s">
        <v>217</v>
      </c>
      <c r="C114" s="156"/>
      <c r="D114" s="38">
        <f>SUM(E114:G114)-9172313+8719388-4010722-1042502-1846399+5485909+8185627+3000000</f>
        <v>4036034</v>
      </c>
      <c r="E114" s="64">
        <f>20000000+1656508-26939462</f>
        <v>-5282954</v>
      </c>
      <c r="F114" s="65"/>
      <c r="G114" s="40"/>
      <c r="H114" s="138">
        <f t="shared" si="3"/>
        <v>6526975</v>
      </c>
      <c r="I114" s="66">
        <f>15000000-21705-8451320</f>
        <v>6526975</v>
      </c>
      <c r="J114" s="67"/>
      <c r="K114" s="63"/>
    </row>
    <row r="115" spans="1:11" ht="12" customHeight="1" thickBot="1" x14ac:dyDescent="0.3">
      <c r="A115" s="157" t="s">
        <v>218</v>
      </c>
      <c r="B115" s="158" t="s">
        <v>219</v>
      </c>
      <c r="C115" s="159"/>
      <c r="D115" s="48">
        <f>SUM(E115:G115)-8373330-1600000-8539600-6323156-7948000-7343244+31158286-32066515+411581-433998</f>
        <v>60420232</v>
      </c>
      <c r="E115" s="160">
        <f>110613300+500000-3261000-6374092</f>
        <v>101478208</v>
      </c>
      <c r="F115" s="161"/>
      <c r="G115" s="161"/>
      <c r="H115" s="162">
        <f t="shared" si="3"/>
        <v>58900503</v>
      </c>
      <c r="I115" s="163">
        <f>65846522-6946019</f>
        <v>58900503</v>
      </c>
      <c r="J115" s="164"/>
      <c r="K115" s="165"/>
    </row>
    <row r="116" spans="1:11" ht="12" customHeight="1" thickBot="1" x14ac:dyDescent="0.3">
      <c r="A116" s="166" t="s">
        <v>28</v>
      </c>
      <c r="B116" s="167" t="s">
        <v>220</v>
      </c>
      <c r="C116" s="96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8">
        <f>+G117+G119+G121</f>
        <v>9272287</v>
      </c>
      <c r="H116" s="169">
        <f t="shared" si="3"/>
        <v>621722734</v>
      </c>
      <c r="I116" s="25">
        <f>+I117+I119+I121</f>
        <v>595199505</v>
      </c>
      <c r="J116" s="24">
        <f>+J117+J119+J121</f>
        <v>4919980</v>
      </c>
      <c r="K116" s="170">
        <f>+K117+K119+K121</f>
        <v>21603249</v>
      </c>
    </row>
    <row r="117" spans="1:11" ht="12" customHeight="1" x14ac:dyDescent="0.25">
      <c r="A117" s="27" t="s">
        <v>30</v>
      </c>
      <c r="B117" s="142" t="s">
        <v>221</v>
      </c>
      <c r="C117" s="171">
        <v>64203415</v>
      </c>
      <c r="D117" s="84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8">
        <f t="shared" si="3"/>
        <v>335298496</v>
      </c>
      <c r="I117" s="85">
        <f>359410+2345001+219008101+12873483+381000+1500000+3139585+33894811+377190+2338070+4950460-60000+275000+20930495+3000+1187993+457200+1422400+3150920+850748</f>
        <v>309384867</v>
      </c>
      <c r="J117" s="34">
        <v>4919980</v>
      </c>
      <c r="K117" s="172">
        <f>20394512+599137</f>
        <v>20993649</v>
      </c>
    </row>
    <row r="118" spans="1:11" x14ac:dyDescent="0.25">
      <c r="A118" s="27" t="s">
        <v>32</v>
      </c>
      <c r="B118" s="173" t="s">
        <v>222</v>
      </c>
      <c r="C118" s="174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38">
        <f t="shared" si="3"/>
        <v>288570801</v>
      </c>
      <c r="I118" s="175">
        <f>12873483+33259811+218246101+22118488</f>
        <v>286497883</v>
      </c>
      <c r="J118" s="34"/>
      <c r="K118" s="172">
        <v>2072918</v>
      </c>
    </row>
    <row r="119" spans="1:11" ht="12" customHeight="1" x14ac:dyDescent="0.25">
      <c r="A119" s="27" t="s">
        <v>34</v>
      </c>
      <c r="B119" s="173" t="s">
        <v>223</v>
      </c>
      <c r="C119" s="153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46">
        <f t="shared" si="3"/>
        <v>220713517</v>
      </c>
      <c r="I119" s="74">
        <f>180701362+1500000+37902555</f>
        <v>220103917</v>
      </c>
      <c r="J119" s="42"/>
      <c r="K119" s="63">
        <v>609600</v>
      </c>
    </row>
    <row r="120" spans="1:11" ht="12" customHeight="1" x14ac:dyDescent="0.25">
      <c r="A120" s="27" t="s">
        <v>36</v>
      </c>
      <c r="B120" s="173" t="s">
        <v>224</v>
      </c>
      <c r="C120" s="176"/>
      <c r="D120" s="38">
        <f>SUM(E120:G120)+1000000+3795044+189429682-203244</f>
        <v>247361482</v>
      </c>
      <c r="E120" s="39">
        <v>53340000</v>
      </c>
      <c r="F120" s="177"/>
      <c r="G120" s="39"/>
      <c r="H120" s="138">
        <f t="shared" si="3"/>
        <v>182607280</v>
      </c>
      <c r="I120" s="178">
        <f>146098020+36509260</f>
        <v>182607280</v>
      </c>
      <c r="J120" s="179"/>
      <c r="K120" s="74"/>
    </row>
    <row r="121" spans="1:11" ht="12" customHeight="1" x14ac:dyDescent="0.25">
      <c r="A121" s="27" t="s">
        <v>38</v>
      </c>
      <c r="B121" s="46" t="s">
        <v>225</v>
      </c>
      <c r="C121" s="180"/>
      <c r="D121" s="38">
        <f>SUM(D122:D129)</f>
        <v>48504500</v>
      </c>
      <c r="E121" s="39">
        <f>SUM(E122:E129)</f>
        <v>43151500</v>
      </c>
      <c r="F121" s="39"/>
      <c r="G121" s="39"/>
      <c r="H121" s="146">
        <f t="shared" si="3"/>
        <v>65710721</v>
      </c>
      <c r="I121" s="74">
        <v>65710721</v>
      </c>
      <c r="J121" s="74"/>
      <c r="K121" s="74"/>
    </row>
    <row r="122" spans="1:11" ht="12" customHeight="1" x14ac:dyDescent="0.25">
      <c r="A122" s="27" t="s">
        <v>40</v>
      </c>
      <c r="B122" s="43" t="s">
        <v>226</v>
      </c>
      <c r="C122" s="181"/>
      <c r="D122" s="38">
        <f t="shared" ref="D122:D128" si="4">SUM(E122:G122)</f>
        <v>0</v>
      </c>
      <c r="E122" s="49"/>
      <c r="F122" s="49"/>
      <c r="G122" s="39"/>
      <c r="H122" s="138">
        <f t="shared" si="3"/>
        <v>0</v>
      </c>
      <c r="I122" s="52"/>
      <c r="J122" s="52"/>
      <c r="K122" s="74"/>
    </row>
    <row r="123" spans="1:11" ht="12" customHeight="1" x14ac:dyDescent="0.25">
      <c r="A123" s="27" t="s">
        <v>227</v>
      </c>
      <c r="B123" s="182" t="s">
        <v>228</v>
      </c>
      <c r="C123" s="183"/>
      <c r="D123" s="38">
        <f t="shared" si="4"/>
        <v>0</v>
      </c>
      <c r="E123" s="49"/>
      <c r="F123" s="49"/>
      <c r="G123" s="39"/>
      <c r="H123" s="138">
        <f t="shared" si="3"/>
        <v>0</v>
      </c>
      <c r="I123" s="52"/>
      <c r="J123" s="52"/>
      <c r="K123" s="74"/>
    </row>
    <row r="124" spans="1:11" ht="12" customHeight="1" x14ac:dyDescent="0.25">
      <c r="A124" s="27" t="s">
        <v>229</v>
      </c>
      <c r="B124" s="152" t="s">
        <v>201</v>
      </c>
      <c r="C124" s="184"/>
      <c r="D124" s="38">
        <f t="shared" si="4"/>
        <v>0</v>
      </c>
      <c r="E124" s="49"/>
      <c r="F124" s="49"/>
      <c r="G124" s="39"/>
      <c r="H124" s="138">
        <f t="shared" si="3"/>
        <v>0</v>
      </c>
      <c r="I124" s="52"/>
      <c r="J124" s="52"/>
      <c r="K124" s="74"/>
    </row>
    <row r="125" spans="1:11" ht="12" customHeight="1" x14ac:dyDescent="0.25">
      <c r="A125" s="27" t="s">
        <v>230</v>
      </c>
      <c r="B125" s="152" t="s">
        <v>231</v>
      </c>
      <c r="C125" s="184"/>
      <c r="D125" s="38">
        <f t="shared" si="4"/>
        <v>0</v>
      </c>
      <c r="E125" s="49"/>
      <c r="F125" s="49"/>
      <c r="G125" s="39"/>
      <c r="H125" s="138">
        <f t="shared" si="3"/>
        <v>0</v>
      </c>
      <c r="I125" s="52"/>
      <c r="J125" s="52"/>
      <c r="K125" s="74"/>
    </row>
    <row r="126" spans="1:11" ht="12" customHeight="1" x14ac:dyDescent="0.25">
      <c r="A126" s="27" t="s">
        <v>232</v>
      </c>
      <c r="B126" s="152" t="s">
        <v>233</v>
      </c>
      <c r="C126" s="184"/>
      <c r="D126" s="38">
        <f t="shared" si="4"/>
        <v>0</v>
      </c>
      <c r="E126" s="49"/>
      <c r="F126" s="49"/>
      <c r="G126" s="39"/>
      <c r="H126" s="138">
        <f t="shared" si="3"/>
        <v>0</v>
      </c>
      <c r="I126" s="52"/>
      <c r="J126" s="52"/>
      <c r="K126" s="74"/>
    </row>
    <row r="127" spans="1:11" ht="12" customHeight="1" x14ac:dyDescent="0.25">
      <c r="A127" s="27" t="s">
        <v>234</v>
      </c>
      <c r="B127" s="152" t="s">
        <v>207</v>
      </c>
      <c r="C127" s="184"/>
      <c r="D127" s="38">
        <f>SUM(E127:G127)+5000</f>
        <v>5000</v>
      </c>
      <c r="E127" s="49"/>
      <c r="F127" s="49"/>
      <c r="G127" s="39"/>
      <c r="H127" s="138">
        <f t="shared" si="3"/>
        <v>0</v>
      </c>
      <c r="I127" s="52"/>
      <c r="J127" s="52"/>
      <c r="K127" s="74"/>
    </row>
    <row r="128" spans="1:11" ht="12" customHeight="1" x14ac:dyDescent="0.25">
      <c r="A128" s="27" t="s">
        <v>235</v>
      </c>
      <c r="B128" s="152" t="s">
        <v>236</v>
      </c>
      <c r="C128" s="184"/>
      <c r="D128" s="38">
        <f t="shared" si="4"/>
        <v>0</v>
      </c>
      <c r="E128" s="49"/>
      <c r="F128" s="49"/>
      <c r="G128" s="39"/>
      <c r="H128" s="138">
        <f t="shared" si="3"/>
        <v>0</v>
      </c>
      <c r="I128" s="52"/>
      <c r="J128" s="52"/>
      <c r="K128" s="74"/>
    </row>
    <row r="129" spans="1:11" ht="12" customHeight="1" thickBot="1" x14ac:dyDescent="0.3">
      <c r="A129" s="154" t="s">
        <v>237</v>
      </c>
      <c r="B129" s="152" t="s">
        <v>238</v>
      </c>
      <c r="C129" s="153">
        <v>10344167</v>
      </c>
      <c r="D129" s="48">
        <f>SUM(E129:G129)+2400000+1348000+600000+1000000</f>
        <v>48499500</v>
      </c>
      <c r="E129" s="64">
        <f>42072000+1079500</f>
        <v>43151500</v>
      </c>
      <c r="F129" s="64"/>
      <c r="G129" s="64"/>
      <c r="H129" s="162">
        <f t="shared" si="3"/>
        <v>65710721</v>
      </c>
      <c r="I129" s="66">
        <v>65710721</v>
      </c>
      <c r="J129" s="66"/>
      <c r="K129" s="66"/>
    </row>
    <row r="130" spans="1:11" ht="12" customHeight="1" thickBot="1" x14ac:dyDescent="0.3">
      <c r="A130" s="20" t="s">
        <v>42</v>
      </c>
      <c r="B130" s="185" t="s">
        <v>239</v>
      </c>
      <c r="C130" s="96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9">
        <f t="shared" si="3"/>
        <v>3004229949</v>
      </c>
      <c r="I130" s="25">
        <f>+I95+I116</f>
        <v>1230267756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5" t="s">
        <v>241</v>
      </c>
      <c r="C131" s="96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9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3" t="s">
        <v>242</v>
      </c>
      <c r="C132" s="153">
        <v>3044789</v>
      </c>
      <c r="D132" s="30">
        <f>SUM(E132:G132)</f>
        <v>3161000</v>
      </c>
      <c r="E132" s="39">
        <v>3161000</v>
      </c>
      <c r="F132" s="39"/>
      <c r="G132" s="39"/>
      <c r="H132" s="146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3" t="s">
        <v>243</v>
      </c>
      <c r="C133" s="176"/>
      <c r="D133" s="61">
        <f>SUM(E133:G133)</f>
        <v>100000000</v>
      </c>
      <c r="E133" s="49">
        <v>100000000</v>
      </c>
      <c r="F133" s="49"/>
      <c r="G133" s="49"/>
      <c r="H133" s="146">
        <f t="shared" si="3"/>
        <v>100000000</v>
      </c>
      <c r="I133" s="52">
        <v>100000000</v>
      </c>
      <c r="J133" s="52"/>
      <c r="K133" s="52"/>
    </row>
    <row r="134" spans="1:11" ht="12" customHeight="1" thickBot="1" x14ac:dyDescent="0.3">
      <c r="A134" s="154" t="s">
        <v>62</v>
      </c>
      <c r="B134" s="173" t="s">
        <v>244</v>
      </c>
      <c r="C134" s="176"/>
      <c r="D134" s="76">
        <f>SUM(E134:G134)</f>
        <v>0</v>
      </c>
      <c r="E134" s="49"/>
      <c r="F134" s="49"/>
      <c r="G134" s="49"/>
      <c r="H134" s="186">
        <f t="shared" si="3"/>
        <v>0</v>
      </c>
      <c r="I134" s="52"/>
      <c r="J134" s="52"/>
      <c r="K134" s="52"/>
    </row>
    <row r="135" spans="1:11" ht="12" customHeight="1" thickBot="1" x14ac:dyDescent="0.3">
      <c r="A135" s="20" t="s">
        <v>72</v>
      </c>
      <c r="B135" s="185" t="s">
        <v>245</v>
      </c>
      <c r="C135" s="187">
        <f>SUM(C136:C141)</f>
        <v>0</v>
      </c>
      <c r="D135" s="99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9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8" t="s">
        <v>246</v>
      </c>
      <c r="C136" s="183"/>
      <c r="D136" s="30">
        <f t="shared" ref="D136:D141" si="5">SUM(E136:G136)</f>
        <v>0</v>
      </c>
      <c r="E136" s="49"/>
      <c r="F136" s="49"/>
      <c r="G136" s="49"/>
      <c r="H136" s="189">
        <f t="shared" si="3"/>
        <v>0</v>
      </c>
      <c r="I136" s="52"/>
      <c r="J136" s="52"/>
      <c r="K136" s="52"/>
    </row>
    <row r="137" spans="1:11" ht="12" customHeight="1" x14ac:dyDescent="0.25">
      <c r="A137" s="27" t="s">
        <v>76</v>
      </c>
      <c r="B137" s="188" t="s">
        <v>247</v>
      </c>
      <c r="C137" s="183"/>
      <c r="D137" s="61">
        <f t="shared" si="5"/>
        <v>0</v>
      </c>
      <c r="E137" s="49"/>
      <c r="F137" s="49"/>
      <c r="G137" s="49"/>
      <c r="H137" s="189">
        <f t="shared" si="3"/>
        <v>0</v>
      </c>
      <c r="I137" s="52"/>
      <c r="J137" s="52"/>
      <c r="K137" s="52"/>
    </row>
    <row r="138" spans="1:11" ht="12" customHeight="1" x14ac:dyDescent="0.25">
      <c r="A138" s="27" t="s">
        <v>78</v>
      </c>
      <c r="B138" s="188" t="s">
        <v>248</v>
      </c>
      <c r="C138" s="183"/>
      <c r="D138" s="61">
        <f t="shared" si="5"/>
        <v>0</v>
      </c>
      <c r="E138" s="49"/>
      <c r="F138" s="49"/>
      <c r="G138" s="49"/>
      <c r="H138" s="189">
        <f t="shared" si="3"/>
        <v>0</v>
      </c>
      <c r="I138" s="52"/>
      <c r="J138" s="52"/>
      <c r="K138" s="52"/>
    </row>
    <row r="139" spans="1:11" ht="12" customHeight="1" x14ac:dyDescent="0.25">
      <c r="A139" s="27" t="s">
        <v>80</v>
      </c>
      <c r="B139" s="188" t="s">
        <v>249</v>
      </c>
      <c r="C139" s="183"/>
      <c r="D139" s="61">
        <f t="shared" si="5"/>
        <v>0</v>
      </c>
      <c r="E139" s="49"/>
      <c r="F139" s="49"/>
      <c r="G139" s="49"/>
      <c r="H139" s="189">
        <f t="shared" si="3"/>
        <v>0</v>
      </c>
      <c r="I139" s="52"/>
      <c r="J139" s="52"/>
      <c r="K139" s="52"/>
    </row>
    <row r="140" spans="1:11" ht="12" customHeight="1" x14ac:dyDescent="0.25">
      <c r="A140" s="27" t="s">
        <v>82</v>
      </c>
      <c r="B140" s="188" t="s">
        <v>250</v>
      </c>
      <c r="C140" s="183"/>
      <c r="D140" s="61">
        <f t="shared" si="5"/>
        <v>0</v>
      </c>
      <c r="E140" s="49"/>
      <c r="F140" s="49"/>
      <c r="G140" s="49"/>
      <c r="H140" s="189">
        <f t="shared" si="3"/>
        <v>0</v>
      </c>
      <c r="I140" s="52"/>
      <c r="J140" s="52"/>
      <c r="K140" s="52"/>
    </row>
    <row r="141" spans="1:11" ht="12" customHeight="1" thickBot="1" x14ac:dyDescent="0.3">
      <c r="A141" s="154" t="s">
        <v>84</v>
      </c>
      <c r="B141" s="188" t="s">
        <v>251</v>
      </c>
      <c r="C141" s="183"/>
      <c r="D141" s="76">
        <f t="shared" si="5"/>
        <v>0</v>
      </c>
      <c r="E141" s="49"/>
      <c r="F141" s="49"/>
      <c r="G141" s="49"/>
      <c r="H141" s="186">
        <f t="shared" si="3"/>
        <v>0</v>
      </c>
      <c r="I141" s="52"/>
      <c r="J141" s="52"/>
      <c r="K141" s="52"/>
    </row>
    <row r="142" spans="1:11" ht="12" customHeight="1" thickBot="1" x14ac:dyDescent="0.3">
      <c r="A142" s="20" t="s">
        <v>96</v>
      </c>
      <c r="B142" s="185" t="s">
        <v>252</v>
      </c>
      <c r="C142" s="96">
        <f>SUM(C143:C146)</f>
        <v>33301994</v>
      </c>
      <c r="D142" s="23">
        <f>SUM(D143:D146)</f>
        <v>35164932</v>
      </c>
      <c r="E142" s="77">
        <f>+E143+E144+E145+E146</f>
        <v>35164932</v>
      </c>
      <c r="F142" s="78">
        <f>+F143+F144+F145+F146</f>
        <v>0</v>
      </c>
      <c r="G142" s="78">
        <f>+G143+G144+G145+G146</f>
        <v>0</v>
      </c>
      <c r="H142" s="169">
        <f t="shared" si="3"/>
        <v>38167591</v>
      </c>
      <c r="I142" s="79">
        <f>+I143+I144+I145+I146</f>
        <v>38167591</v>
      </c>
      <c r="J142" s="80">
        <f>+J143+J144+J145+J146</f>
        <v>0</v>
      </c>
      <c r="K142" s="80">
        <f>+K143+K144+K145+K146</f>
        <v>0</v>
      </c>
    </row>
    <row r="143" spans="1:11" ht="12" customHeight="1" x14ac:dyDescent="0.25">
      <c r="A143" s="27" t="s">
        <v>98</v>
      </c>
      <c r="B143" s="188" t="s">
        <v>253</v>
      </c>
      <c r="C143" s="183"/>
      <c r="D143" s="30">
        <f>SUM(E143:G143)</f>
        <v>0</v>
      </c>
      <c r="E143" s="49"/>
      <c r="F143" s="49"/>
      <c r="G143" s="49"/>
      <c r="H143" s="189">
        <f t="shared" si="3"/>
        <v>0</v>
      </c>
      <c r="I143" s="52"/>
      <c r="J143" s="52"/>
      <c r="K143" s="52"/>
    </row>
    <row r="144" spans="1:11" ht="12" customHeight="1" x14ac:dyDescent="0.25">
      <c r="A144" s="27" t="s">
        <v>100</v>
      </c>
      <c r="B144" s="188" t="s">
        <v>254</v>
      </c>
      <c r="C144" s="171">
        <v>33301994</v>
      </c>
      <c r="D144" s="61">
        <f>SUM(E144:G144)</f>
        <v>35164932</v>
      </c>
      <c r="E144" s="49">
        <f>35164932</f>
        <v>35164932</v>
      </c>
      <c r="F144" s="49"/>
      <c r="G144" s="49"/>
      <c r="H144" s="146">
        <f t="shared" si="3"/>
        <v>38167591</v>
      </c>
      <c r="I144" s="52">
        <v>38167591</v>
      </c>
      <c r="J144" s="52"/>
      <c r="K144" s="52"/>
    </row>
    <row r="145" spans="1:11" ht="12" customHeight="1" x14ac:dyDescent="0.25">
      <c r="A145" s="27" t="s">
        <v>102</v>
      </c>
      <c r="B145" s="188" t="s">
        <v>255</v>
      </c>
      <c r="C145" s="183"/>
      <c r="D145" s="61">
        <f>SUM(E145:G145)</f>
        <v>0</v>
      </c>
      <c r="E145" s="49"/>
      <c r="F145" s="49"/>
      <c r="G145" s="49"/>
      <c r="H145" s="189">
        <f t="shared" si="3"/>
        <v>0</v>
      </c>
      <c r="I145" s="52"/>
      <c r="J145" s="52"/>
      <c r="K145" s="52"/>
    </row>
    <row r="146" spans="1:11" ht="12" customHeight="1" thickBot="1" x14ac:dyDescent="0.3">
      <c r="A146" s="154" t="s">
        <v>104</v>
      </c>
      <c r="B146" s="190" t="s">
        <v>256</v>
      </c>
      <c r="C146" s="191"/>
      <c r="D146" s="76">
        <f>SUM(E146:G146)</f>
        <v>0</v>
      </c>
      <c r="E146" s="49"/>
      <c r="F146" s="49"/>
      <c r="G146" s="49"/>
      <c r="H146" s="186">
        <f t="shared" si="3"/>
        <v>0</v>
      </c>
      <c r="I146" s="52"/>
      <c r="J146" s="52"/>
      <c r="K146" s="52"/>
    </row>
    <row r="147" spans="1:11" ht="12" customHeight="1" thickBot="1" x14ac:dyDescent="0.3">
      <c r="A147" s="20" t="s">
        <v>257</v>
      </c>
      <c r="B147" s="185" t="s">
        <v>258</v>
      </c>
      <c r="C147" s="101">
        <f>SUM(C148:C152)</f>
        <v>0</v>
      </c>
      <c r="D147" s="99">
        <f>SUM(D148:D152)</f>
        <v>0</v>
      </c>
      <c r="E147" s="192">
        <f>+E148+E149+E150+E151+E152</f>
        <v>0</v>
      </c>
      <c r="F147" s="193">
        <f>+F148+F149+F150+F151+F152</f>
        <v>0</v>
      </c>
      <c r="G147" s="193">
        <f>SUM(G148:G152)</f>
        <v>0</v>
      </c>
      <c r="H147" s="169">
        <f t="shared" si="3"/>
        <v>0</v>
      </c>
      <c r="I147" s="194">
        <f>+I148+I149+I150+I151+I152</f>
        <v>0</v>
      </c>
      <c r="J147" s="195">
        <f>+J148+J149+J150+J151+J152</f>
        <v>0</v>
      </c>
      <c r="K147" s="195">
        <f>SUM(K148:K152)</f>
        <v>0</v>
      </c>
    </row>
    <row r="148" spans="1:11" ht="12" customHeight="1" x14ac:dyDescent="0.25">
      <c r="A148" s="27" t="s">
        <v>110</v>
      </c>
      <c r="B148" s="188" t="s">
        <v>259</v>
      </c>
      <c r="C148" s="183"/>
      <c r="D148" s="30">
        <f t="shared" ref="D148:D154" si="6">SUM(E148:G148)</f>
        <v>0</v>
      </c>
      <c r="E148" s="49"/>
      <c r="F148" s="49"/>
      <c r="G148" s="49"/>
      <c r="H148" s="189">
        <f t="shared" si="3"/>
        <v>0</v>
      </c>
      <c r="I148" s="52"/>
      <c r="J148" s="52"/>
      <c r="K148" s="52"/>
    </row>
    <row r="149" spans="1:11" ht="12" customHeight="1" x14ac:dyDescent="0.25">
      <c r="A149" s="27" t="s">
        <v>112</v>
      </c>
      <c r="B149" s="188" t="s">
        <v>260</v>
      </c>
      <c r="C149" s="171"/>
      <c r="D149" s="61">
        <f t="shared" si="6"/>
        <v>0</v>
      </c>
      <c r="E149" s="49"/>
      <c r="F149" s="49"/>
      <c r="G149" s="49"/>
      <c r="H149" s="189">
        <f t="shared" si="3"/>
        <v>0</v>
      </c>
      <c r="I149" s="52"/>
      <c r="J149" s="52"/>
      <c r="K149" s="52"/>
    </row>
    <row r="150" spans="1:11" ht="12" customHeight="1" x14ac:dyDescent="0.25">
      <c r="A150" s="27" t="s">
        <v>114</v>
      </c>
      <c r="B150" s="188" t="s">
        <v>261</v>
      </c>
      <c r="C150" s="183"/>
      <c r="D150" s="61">
        <f t="shared" si="6"/>
        <v>0</v>
      </c>
      <c r="E150" s="49"/>
      <c r="F150" s="49"/>
      <c r="G150" s="49"/>
      <c r="H150" s="189">
        <f t="shared" si="3"/>
        <v>0</v>
      </c>
      <c r="I150" s="52"/>
      <c r="J150" s="52"/>
      <c r="K150" s="52"/>
    </row>
    <row r="151" spans="1:11" ht="12" customHeight="1" x14ac:dyDescent="0.25">
      <c r="A151" s="27" t="s">
        <v>116</v>
      </c>
      <c r="B151" s="188" t="s">
        <v>262</v>
      </c>
      <c r="C151" s="183"/>
      <c r="D151" s="61">
        <f t="shared" si="6"/>
        <v>0</v>
      </c>
      <c r="E151" s="49"/>
      <c r="F151" s="49"/>
      <c r="G151" s="49"/>
      <c r="H151" s="189">
        <f t="shared" si="3"/>
        <v>0</v>
      </c>
      <c r="I151" s="52"/>
      <c r="J151" s="52"/>
      <c r="K151" s="52"/>
    </row>
    <row r="152" spans="1:11" ht="12" customHeight="1" thickBot="1" x14ac:dyDescent="0.3">
      <c r="A152" s="27" t="s">
        <v>263</v>
      </c>
      <c r="B152" s="188" t="s">
        <v>264</v>
      </c>
      <c r="C152" s="183"/>
      <c r="D152" s="76">
        <f t="shared" si="6"/>
        <v>0</v>
      </c>
      <c r="E152" s="90"/>
      <c r="F152" s="90"/>
      <c r="G152" s="49"/>
      <c r="H152" s="186">
        <f t="shared" si="3"/>
        <v>0</v>
      </c>
      <c r="I152" s="92"/>
      <c r="J152" s="92"/>
      <c r="K152" s="52"/>
    </row>
    <row r="153" spans="1:11" ht="12" customHeight="1" thickBot="1" x14ac:dyDescent="0.3">
      <c r="A153" s="20" t="s">
        <v>118</v>
      </c>
      <c r="B153" s="185" t="s">
        <v>265</v>
      </c>
      <c r="C153" s="101"/>
      <c r="D153" s="99">
        <f t="shared" si="6"/>
        <v>0</v>
      </c>
      <c r="E153" s="192"/>
      <c r="F153" s="193"/>
      <c r="G153" s="196"/>
      <c r="H153" s="169">
        <f t="shared" si="3"/>
        <v>0</v>
      </c>
      <c r="I153" s="194"/>
      <c r="J153" s="195"/>
      <c r="K153" s="197"/>
    </row>
    <row r="154" spans="1:11" ht="12" customHeight="1" thickBot="1" x14ac:dyDescent="0.3">
      <c r="A154" s="20" t="s">
        <v>266</v>
      </c>
      <c r="B154" s="185" t="s">
        <v>267</v>
      </c>
      <c r="C154" s="101"/>
      <c r="D154" s="99">
        <f t="shared" si="6"/>
        <v>0</v>
      </c>
      <c r="E154" s="192"/>
      <c r="F154" s="193"/>
      <c r="G154" s="196"/>
      <c r="H154" s="169">
        <f t="shared" si="3"/>
        <v>0</v>
      </c>
      <c r="I154" s="194"/>
      <c r="J154" s="195"/>
      <c r="K154" s="197"/>
    </row>
    <row r="155" spans="1:11" ht="15" customHeight="1" thickBot="1" x14ac:dyDescent="0.3">
      <c r="A155" s="20" t="s">
        <v>268</v>
      </c>
      <c r="B155" s="185" t="s">
        <v>269</v>
      </c>
      <c r="C155" s="96">
        <f>C154+C153+C147+C142+C135+C131</f>
        <v>36346783</v>
      </c>
      <c r="D155" s="23">
        <f>D154+D153+D147+D142+D135+D131</f>
        <v>138325932</v>
      </c>
      <c r="E155" s="198">
        <f>+E131+E135+E142+E147+E153+E154</f>
        <v>138325932</v>
      </c>
      <c r="F155" s="199">
        <f>+F131+F135+F142+F147+F153+F154</f>
        <v>0</v>
      </c>
      <c r="G155" s="199">
        <f>+G131+G135+G142+G147+G153+G154</f>
        <v>0</v>
      </c>
      <c r="H155" s="169">
        <f t="shared" si="3"/>
        <v>146654295</v>
      </c>
      <c r="I155" s="200">
        <f>+I131+I135+I142+I147+I153+I154</f>
        <v>146654295</v>
      </c>
      <c r="J155" s="201">
        <f>+J131+J135+J142+J147+J153+J154</f>
        <v>0</v>
      </c>
      <c r="K155" s="201">
        <f>+K131+K135+K142+K147+K153+K154</f>
        <v>0</v>
      </c>
    </row>
    <row r="156" spans="1:11" s="26" customFormat="1" ht="12.95" customHeight="1" thickBot="1" x14ac:dyDescent="0.25">
      <c r="A156" s="202" t="s">
        <v>270</v>
      </c>
      <c r="B156" s="203" t="s">
        <v>271</v>
      </c>
      <c r="C156" s="96">
        <f>C155+C130</f>
        <v>2666690767</v>
      </c>
      <c r="D156" s="23">
        <f>D155+D130</f>
        <v>3410219894</v>
      </c>
      <c r="E156" s="198">
        <f>+E130+E155</f>
        <v>607614265</v>
      </c>
      <c r="F156" s="199">
        <f>+F130+F155</f>
        <v>225723850</v>
      </c>
      <c r="G156" s="199">
        <f>+G130+G155</f>
        <v>1397286981</v>
      </c>
      <c r="H156" s="169">
        <f t="shared" si="3"/>
        <v>3150884244</v>
      </c>
      <c r="I156" s="200">
        <f>+I130+I155</f>
        <v>1376922051</v>
      </c>
      <c r="J156" s="201">
        <f>+J130+J155</f>
        <v>244350438</v>
      </c>
      <c r="K156" s="201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&amp;R30. melléklet a 8/2018.(IV.27.)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2018-04-27T07:27:03Z</dcterms:created>
  <dcterms:modified xsi:type="dcterms:W3CDTF">2018-04-27T07:27:03Z</dcterms:modified>
</cp:coreProperties>
</file>