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7935" firstSheet="15" activeTab="24"/>
  </bookViews>
  <sheets>
    <sheet name="Címrend" sheetId="1" state="hidden" r:id="rId1"/>
    <sheet name="Munka2" sheetId="2" state="hidden" r:id="rId2"/>
    <sheet name="Mérleg" sheetId="3" r:id="rId3"/>
    <sheet name="Összevont" sheetId="4" r:id="rId4"/>
    <sheet name="Ovi" sheetId="5" r:id="rId5"/>
    <sheet name="Önkormányzat" sheetId="6" r:id="rId6"/>
    <sheet name="Start" sheetId="7" r:id="rId7"/>
    <sheet name="Községgazd" sheetId="8" r:id="rId8"/>
    <sheet name="Könyvtár" sheetId="9" r:id="rId9"/>
    <sheet name="Közvilágítás" sheetId="10" r:id="rId10"/>
    <sheet name="Közút" sheetId="11" r:id="rId11"/>
    <sheet name="Közponit tám" sheetId="12" state="hidden" r:id="rId12"/>
    <sheet name="Intézményen kívüli étkezés" sheetId="13" r:id="rId13"/>
    <sheet name="Segély" sheetId="14" r:id="rId14"/>
    <sheet name="Felhalmozási" sheetId="15" r:id="rId15"/>
    <sheet name="Átadott " sheetId="16" r:id="rId16"/>
    <sheet name="Likvid terv" sheetId="17" state="hidden" r:id="rId17"/>
    <sheet name="Közvetett tám" sheetId="18" state="hidden" r:id="rId18"/>
    <sheet name="szoc.egyéb tám." sheetId="19" state="hidden" r:id="rId19"/>
    <sheet name="Gördülő terv" sheetId="20" state="hidden" r:id="rId20"/>
    <sheet name="Kötelezettségek" sheetId="21" state="hidden" r:id="rId21"/>
    <sheet name="Munka1" sheetId="22" state="hidden" r:id="rId22"/>
    <sheet name="Pénzeszköz változás" sheetId="23" r:id="rId23"/>
    <sheet name="Maradvány" sheetId="24" r:id="rId24"/>
    <sheet name="Részesedés" sheetId="25" r:id="rId25"/>
    <sheet name="Munka3" sheetId="26" r:id="rId26"/>
  </sheets>
  <externalReferences>
    <externalReference r:id="rId29"/>
    <externalReference r:id="rId30"/>
  </externalReferences>
  <definedNames/>
  <calcPr fullCalcOnLoad="1"/>
</workbook>
</file>

<file path=xl/comments22.xml><?xml version="1.0" encoding="utf-8"?>
<comments xmlns="http://schemas.openxmlformats.org/spreadsheetml/2006/main">
  <authors>
    <author>timea.gyenisne</author>
  </authors>
  <commentList>
    <comment ref="E33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200e Ft Vízműtől
802e Ft továbbszámlázott ovi+könyvtár</t>
        </r>
      </text>
    </comment>
    <comment ref="E98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Ovi+könyvtár közüzem továbbszámlázás</t>
        </r>
      </text>
    </comment>
  </commentList>
</comments>
</file>

<file path=xl/comments4.xml><?xml version="1.0" encoding="utf-8"?>
<comments xmlns="http://schemas.openxmlformats.org/spreadsheetml/2006/main">
  <authors>
    <author>timea.gyenisne</author>
  </authors>
  <commentList>
    <comment ref="E34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200e Ft Vízműtől
802e Ft továbbszámlázott ovi+könyvtár</t>
        </r>
      </text>
    </comment>
  </commentList>
</comments>
</file>

<file path=xl/comments5.xml><?xml version="1.0" encoding="utf-8"?>
<comments xmlns="http://schemas.openxmlformats.org/spreadsheetml/2006/main">
  <authors>
    <author>timea.gyenisne</author>
  </authors>
  <commentList>
    <comment ref="E20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állami támogatás:
ovi bér:8.174e Ft+156
műk: 853e Ft
étk: 701e Ft
önkorm.támogatás:
bér kieg: 1.584e Ft
étk.kieg:238 Ft</t>
        </r>
      </text>
    </comment>
    <comment ref="E47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ebéd: 609.055
tízórai, uzsi: 165.354,-</t>
        </r>
      </text>
    </comment>
  </commentList>
</comments>
</file>

<file path=xl/comments6.xml><?xml version="1.0" encoding="utf-8"?>
<comments xmlns="http://schemas.openxmlformats.org/spreadsheetml/2006/main">
  <authors>
    <author>timea.gyenisne</author>
  </authors>
  <commentList>
    <comment ref="E10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22.916e Ft állami tám
156e Ft 2014évi elszámolás miatt ovitám</t>
        </r>
      </text>
    </comment>
    <comment ref="E63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900eFt támogatás visszafizetés
18e Ft lakásfenntartási vissza
191e Ft víztisztító vissza
78e Ft kutyatelep
96e Ft orvosi ügyelet hozzájárulás
26e Ft Mecsek-Dráva Társulás
150e Ft Egyesület
510e Ft Mikrotérség szoc hozzájárulás</t>
        </r>
      </text>
    </comment>
    <comment ref="E46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Ovi+könyvtár közüzem továbbszámlázás</t>
        </r>
      </text>
    </comment>
    <comment ref="E13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200e Ft Vízmű
556e Ft könyvtár közüzem
550e Ft ovi közüzem
500e Ft Telekom</t>
        </r>
      </text>
    </comment>
    <comment ref="E11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orvosi rendelő nyomtatójához drávaszabolcsról</t>
        </r>
      </text>
    </comment>
  </commentList>
</comments>
</file>

<file path=xl/comments9.xml><?xml version="1.0" encoding="utf-8"?>
<comments xmlns="http://schemas.openxmlformats.org/spreadsheetml/2006/main">
  <authors>
    <author>timea.gyenisne</author>
  </authors>
  <commentList>
    <comment ref="H46" authorId="0">
      <text>
        <r>
          <rPr>
            <b/>
            <sz val="9"/>
            <rFont val="Tahoma"/>
            <family val="2"/>
          </rPr>
          <t>timea.gyenisne:</t>
        </r>
        <r>
          <rPr>
            <sz val="9"/>
            <rFont val="Tahoma"/>
            <family val="2"/>
          </rPr>
          <t xml:space="preserve">
 rendezvény</t>
        </r>
      </text>
    </comment>
  </commentList>
</comments>
</file>

<file path=xl/sharedStrings.xml><?xml version="1.0" encoding="utf-8"?>
<sst xmlns="http://schemas.openxmlformats.org/spreadsheetml/2006/main" count="2006" uniqueCount="800">
  <si>
    <t>Rovatszám</t>
  </si>
  <si>
    <t>Kiemelt előirányzatok</t>
  </si>
  <si>
    <t>Kötelező feladatok</t>
  </si>
  <si>
    <t>Önként vállalt feladatok</t>
  </si>
  <si>
    <t>Összesen</t>
  </si>
  <si>
    <t>ezer Ft-ban</t>
  </si>
  <si>
    <t>B1.</t>
  </si>
  <si>
    <t>Működési célú tám. ÁH-on belülről</t>
  </si>
  <si>
    <t>B2.</t>
  </si>
  <si>
    <t>B3.</t>
  </si>
  <si>
    <t>Közhatalmi bevételek</t>
  </si>
  <si>
    <t>B4.</t>
  </si>
  <si>
    <t>Működési bevételek</t>
  </si>
  <si>
    <t>Egyéb pénzügyi műveletek</t>
  </si>
  <si>
    <t>B5.</t>
  </si>
  <si>
    <t>Felhalmozási bevételek</t>
  </si>
  <si>
    <t>B6.</t>
  </si>
  <si>
    <t>Működési célú átvett pénzeszközök</t>
  </si>
  <si>
    <t>B7.</t>
  </si>
  <si>
    <t>Felhatalmazás célú átvett pénzeszközök</t>
  </si>
  <si>
    <t>B1-B7.</t>
  </si>
  <si>
    <t>Költségvetési bevételek összesen</t>
  </si>
  <si>
    <t>Finanszírozási bevételek</t>
  </si>
  <si>
    <t>B8.</t>
  </si>
  <si>
    <t>B7+8.</t>
  </si>
  <si>
    <t>Bevételek összesen</t>
  </si>
  <si>
    <t>K1.</t>
  </si>
  <si>
    <t>Személyi juttatások</t>
  </si>
  <si>
    <t>K2.</t>
  </si>
  <si>
    <t>K3.</t>
  </si>
  <si>
    <t>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</si>
  <si>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</si>
  <si>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</si>
  <si>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</si>
  <si>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</si>
  <si>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</si>
  <si>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</si>
  <si>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</si>
  <si>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</si>
  <si>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K1-8.</t>
  </si>
  <si>
    <t>K9.</t>
  </si>
  <si>
    <t>Finanszírozási kiadások</t>
  </si>
  <si>
    <t>K8+9.</t>
  </si>
  <si>
    <t>Kiadások összesen</t>
  </si>
  <si>
    <t>BEVÉTELEK</t>
  </si>
  <si>
    <t>Felhalmozási célú támogatások ÁH-on belülről</t>
  </si>
  <si>
    <t>Előző évi maradvány igénybevétele</t>
  </si>
  <si>
    <t>Központi, irányítószervi támogatás</t>
  </si>
  <si>
    <t>KIADÁSOK</t>
  </si>
  <si>
    <t>K11.</t>
  </si>
  <si>
    <t>Foglalkoztatottak személyi juttatásai</t>
  </si>
  <si>
    <t>Törvény szerinti illetmények, munkabérek</t>
  </si>
  <si>
    <t>Készenléti ügyeleti, helyettesítési, túlóradíj</t>
  </si>
  <si>
    <t>Jubileumi jutalom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</si>
  <si>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</si>
  <si>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</si>
  <si>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</si>
  <si>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</si>
  <si>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</si>
  <si>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</si>
  <si>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</si>
  <si>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Egyéb külső személyi juttatások</t>
  </si>
  <si>
    <t>Szociális hozzájárulási adó</t>
  </si>
  <si>
    <t>Rehabilitációs hozzájárulás</t>
  </si>
  <si>
    <t>Munkaadót terhelő személyi jövedelemadó</t>
  </si>
  <si>
    <t>K31.</t>
  </si>
  <si>
    <t>K32.</t>
  </si>
  <si>
    <t>Készletbeszerzés</t>
  </si>
  <si>
    <t>Kommunikációs szolgáltatások</t>
  </si>
  <si>
    <t>K33.</t>
  </si>
  <si>
    <t>Szolgáltatási kiadások</t>
  </si>
  <si>
    <t>Bérleti és lízing díjak</t>
  </si>
  <si>
    <t>Karbantartás, kisjavítás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</si>
  <si>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</si>
  <si>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</si>
  <si>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</si>
  <si>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</si>
  <si>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</si>
  <si>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Kamatkiadás</t>
  </si>
  <si>
    <t>Egyéb dologi kiadások</t>
  </si>
  <si>
    <t>Egyéb működési kiadások</t>
  </si>
  <si>
    <t>Egyéb felhasználású kiadások</t>
  </si>
  <si>
    <t>Költségvetési kiadások összesen</t>
  </si>
  <si>
    <t>Hitel és kölcsöntörlesztés</t>
  </si>
  <si>
    <t>Munkaadót terhelő járulékok és szociális hj. adó</t>
  </si>
  <si>
    <t>Munkavégzésre irányuló egyéb jogviszonyban nem saját fogl.-nak fizetett juttatás</t>
  </si>
  <si>
    <t>Kormányzati funkció: Önkormányzatok és önkormányzati hivatalok jogalkotó és ált.ig. tevékenysége</t>
  </si>
  <si>
    <t>Előzetesen felszámított és fizetendő ÁFA</t>
  </si>
  <si>
    <t>Beruházások Áfa-ja</t>
  </si>
  <si>
    <t>Felújítások Áfa-ja</t>
  </si>
  <si>
    <t>Központi, irányitószervi támogatás</t>
  </si>
  <si>
    <t>Közüzemi díjak</t>
  </si>
  <si>
    <t>Közvetített szolgáltatás</t>
  </si>
  <si>
    <t>Beruhá Áfa-ja</t>
  </si>
  <si>
    <t>Egyéb felhalmozási kiadások</t>
  </si>
  <si>
    <t xml:space="preserve">Központi, irányítószervi támogatás </t>
  </si>
  <si>
    <t xml:space="preserve"> </t>
  </si>
  <si>
    <t>Vásárolt élelem</t>
  </si>
  <si>
    <r>
      <t xml:space="preserve">Kormányzati funkció: </t>
    </r>
    <r>
      <rPr>
        <b/>
        <i/>
        <sz val="10"/>
        <color indexed="8"/>
        <rFont val="Calibri"/>
        <family val="2"/>
      </rPr>
      <t xml:space="preserve">041232 START-munka program, Téli közfoglakoztatás </t>
    </r>
  </si>
  <si>
    <r>
      <t xml:space="preserve">Kormányzati funkció: </t>
    </r>
    <r>
      <rPr>
        <b/>
        <i/>
        <sz val="10"/>
        <color indexed="8"/>
        <rFont val="Calibri"/>
        <family val="2"/>
      </rPr>
      <t>064010 Közvilágítás</t>
    </r>
  </si>
  <si>
    <t xml:space="preserve">Kormányzati funkció: 066020 Város és községgazdálkodás, egyéb szolgáltatások </t>
  </si>
  <si>
    <t>Kormányzati funkció:082044 Könyvtári szolgáltatás</t>
  </si>
  <si>
    <r>
      <t xml:space="preserve">Kormányzati funkció: </t>
    </r>
    <r>
      <rPr>
        <b/>
        <i/>
        <sz val="10"/>
        <color indexed="8"/>
        <rFont val="Calibri"/>
        <family val="2"/>
      </rPr>
      <t>091110 Óvodai ellátás</t>
    </r>
  </si>
  <si>
    <t>Végkielégítés</t>
  </si>
  <si>
    <t>KIEMELT ELŐIRÁNYZATOK</t>
  </si>
  <si>
    <t>B11.</t>
  </si>
  <si>
    <t>Önkormányzat működési támogatásai</t>
  </si>
  <si>
    <t>B12.</t>
  </si>
  <si>
    <t>Elvonások és befizetések bevételei</t>
  </si>
  <si>
    <t>B13.</t>
  </si>
  <si>
    <t>Működési célú garancia-és kezességváll. szárm. bevétel</t>
  </si>
  <si>
    <t>B16.</t>
  </si>
  <si>
    <t>Egyéb működési célú támogatások bevételei ÁH-on belül</t>
  </si>
  <si>
    <t>Felhalmozási célú támogatások ÁH-on belül</t>
  </si>
  <si>
    <t>B34.</t>
  </si>
  <si>
    <t>Vagyoni típusú adók</t>
  </si>
  <si>
    <t>Magánszemélyek kommunális adója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</si>
  <si>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</si>
  <si>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</si>
  <si>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</si>
  <si>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</si>
  <si>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</si>
  <si>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</si>
  <si>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</si>
  <si>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</si>
  <si>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</si>
  <si>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Környezetvédelmi bírság</t>
  </si>
  <si>
    <t>Egyéb bírság (adó)</t>
  </si>
  <si>
    <t>Késedelmi és önellenőrzési pótlék</t>
  </si>
  <si>
    <t>B401.</t>
  </si>
  <si>
    <t>Áru- és készlet értékesítés</t>
  </si>
  <si>
    <t>B402.</t>
  </si>
  <si>
    <t>Szolgáltatások ellenértéke (bérbe adás)</t>
  </si>
  <si>
    <t>B403.</t>
  </si>
  <si>
    <t>Közvetített szolgáltatás ellenértéke</t>
  </si>
  <si>
    <t>B404.</t>
  </si>
  <si>
    <t>Tulajdonosi bevételek</t>
  </si>
  <si>
    <t>Osztalékok</t>
  </si>
  <si>
    <t>Önkormányzati vagyon üzemeltetése, hasznosításból származó bevétel</t>
  </si>
  <si>
    <t>Önkormányzati vagyon vagyonkezelésbe adása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</si>
  <si>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</si>
  <si>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</si>
  <si>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</si>
  <si>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</si>
  <si>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</si>
  <si>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</si>
  <si>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</si>
  <si>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</si>
  <si>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</si>
  <si>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</si>
  <si>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Immateriális javak értékesítése</t>
  </si>
  <si>
    <t>Ingatlan értékesítés (lakás)</t>
  </si>
  <si>
    <t>Tárgyi eszközök értékesítése</t>
  </si>
  <si>
    <t>Részesedések megszűnéséből kapott bevétel</t>
  </si>
  <si>
    <t>Működési célú kölcsönök visszatér. ÁH-on kívül</t>
  </si>
  <si>
    <t>Egyéb működési célú átvett pénzeszköz</t>
  </si>
  <si>
    <t>Egyéb felhalmozási célú pénzeszközök ÁH-on kívül</t>
  </si>
  <si>
    <t>B81.</t>
  </si>
  <si>
    <t>Belföldi finanszírozási bevétel</t>
  </si>
  <si>
    <t>Hosszúlejáratú hitelek, kölcsönök felv.</t>
  </si>
  <si>
    <t>Likviditási, rövidlejáratú hitelek kölcs.</t>
  </si>
  <si>
    <t>Belföldi értékpapírok bevételei</t>
  </si>
  <si>
    <t>B813.</t>
  </si>
  <si>
    <t>Előző év költségvetési maradvány igénybevétele</t>
  </si>
  <si>
    <t>Működési pénzmaradvány</t>
  </si>
  <si>
    <t>Fejlesztési pénzmaradvány</t>
  </si>
  <si>
    <t>B816.</t>
  </si>
  <si>
    <t>Központi irányítású támogatás</t>
  </si>
  <si>
    <t>Központi irányítású támogatás halmozódás miatt mínusz</t>
  </si>
  <si>
    <t>Munkaadókat terhelő járulékok és szoc. hozzájárulási adó</t>
  </si>
  <si>
    <t>Egyéb működési célú kiadások</t>
  </si>
  <si>
    <t>K502.</t>
  </si>
  <si>
    <t>Elvonások és befizetések</t>
  </si>
  <si>
    <t>K506.</t>
  </si>
  <si>
    <t>Egyéb működési célú támogatások ÁH-on belül</t>
  </si>
  <si>
    <t>K508.</t>
  </si>
  <si>
    <t>Kölcsönök nyújtása ÁH-on kívülre</t>
  </si>
  <si>
    <t>Egyéb működési célú támogatások ÁH-on kívül</t>
  </si>
  <si>
    <t>K512.</t>
  </si>
  <si>
    <t>Tartalékok összesen</t>
  </si>
  <si>
    <t>Általános tartalék</t>
  </si>
  <si>
    <t>Céltartalék</t>
  </si>
  <si>
    <t>Egyéb felhalmozási célú kiadások</t>
  </si>
  <si>
    <t>Költségvetési kiadások</t>
  </si>
  <si>
    <t>Hosszúlejáratú hitelek, kölcsönök törlesztése</t>
  </si>
  <si>
    <t>Rövidlejáratú hitelek, kölcsönök törlesztése</t>
  </si>
  <si>
    <t>K915.</t>
  </si>
  <si>
    <t>Központi, irányítószervi támogatás folyósítása</t>
  </si>
  <si>
    <t>K916.</t>
  </si>
  <si>
    <t>Pénzeszközök betétként elhelyezve</t>
  </si>
  <si>
    <t>K917.</t>
  </si>
  <si>
    <t>Pénzügyi Lízing kiadásai</t>
  </si>
  <si>
    <t>Költségvetési hiány/többlet</t>
  </si>
  <si>
    <t xml:space="preserve">Külső finanszírozást igénylő hiány </t>
  </si>
  <si>
    <t>különbség</t>
  </si>
  <si>
    <t>2016. év</t>
  </si>
  <si>
    <t>Béren kívüli juttatás</t>
  </si>
  <si>
    <t>Matty Község Önkormányzatának Kormányzati funkció szerinti bevételei és kiadásai</t>
  </si>
  <si>
    <t xml:space="preserve">Matty Község Önkormányzatának Összevont Bevételei </t>
  </si>
  <si>
    <t>Központi, irányítószervi támogatás halmozódás miatt mínusz</t>
  </si>
  <si>
    <r>
      <t xml:space="preserve">Kormányzati funkció: </t>
    </r>
    <r>
      <rPr>
        <b/>
        <i/>
        <sz val="10"/>
        <color indexed="8"/>
        <rFont val="Calibri"/>
        <family val="2"/>
      </rPr>
      <t>045160 Közutak, hidak üzemelttése, fenntartása</t>
    </r>
  </si>
  <si>
    <t>Különbözet</t>
  </si>
  <si>
    <t>Kimenő</t>
  </si>
  <si>
    <t>ebből: Étkezés különbözet</t>
  </si>
  <si>
    <t>szünidei étkezés</t>
  </si>
  <si>
    <t>tüzifa szállítás</t>
  </si>
  <si>
    <t>beiskolázási</t>
  </si>
  <si>
    <t>temetési</t>
  </si>
  <si>
    <t>Bejövő</t>
  </si>
  <si>
    <t>Egészségügyi hozzájárulás</t>
  </si>
  <si>
    <t>Matty Község Önkormányzata</t>
  </si>
  <si>
    <t>(Ávr. 28. § alapján)</t>
  </si>
  <si>
    <t xml:space="preserve">ezer Ft-ban </t>
  </si>
  <si>
    <t>Megnevezés</t>
  </si>
  <si>
    <t>Adóelengedés mértéke</t>
  </si>
  <si>
    <t>Adókedvezmény</t>
  </si>
  <si>
    <t>Egyéb</t>
  </si>
  <si>
    <t>Jogcíme</t>
  </si>
  <si>
    <t>Mértéke %</t>
  </si>
  <si>
    <t>Összeg</t>
  </si>
  <si>
    <t>Támogatás helyi adóknál</t>
  </si>
  <si>
    <t>Építményadó</t>
  </si>
  <si>
    <t>Mentes</t>
  </si>
  <si>
    <t>Gépjárműadó</t>
  </si>
  <si>
    <t>Mozgáskorlátozás Mentes</t>
  </si>
  <si>
    <t>Részben ment.</t>
  </si>
  <si>
    <t>2016. évi közvetett támogatásai</t>
  </si>
  <si>
    <t>Ezer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</si>
  <si>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</si>
  <si>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</si>
  <si>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</si>
  <si>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</si>
  <si>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</si>
  <si>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</si>
  <si>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</si>
  <si>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</si>
  <si>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</si>
  <si>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</si>
  <si>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</si>
  <si>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</si>
  <si>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B1</t>
  </si>
  <si>
    <t>Mük.célú tám. ÁH-n belül</t>
  </si>
  <si>
    <t>B2</t>
  </si>
  <si>
    <t xml:space="preserve">Felhalm.célú tám. ÁH-n belül </t>
  </si>
  <si>
    <t>B3</t>
  </si>
  <si>
    <t xml:space="preserve">Közhatalmi bevétel </t>
  </si>
  <si>
    <t>B4</t>
  </si>
  <si>
    <t>Működési bevétel</t>
  </si>
  <si>
    <t>B5</t>
  </si>
  <si>
    <t xml:space="preserve">Felhalmozási be3vétel </t>
  </si>
  <si>
    <t>B6</t>
  </si>
  <si>
    <t>Mü-re átv.pénzeszk. ÁH-nkívül</t>
  </si>
  <si>
    <t>B7</t>
  </si>
  <si>
    <t>Felhalm.átvett ÁH-n kív</t>
  </si>
  <si>
    <t>B8</t>
  </si>
  <si>
    <t>Finanszírozási bevétel</t>
  </si>
  <si>
    <t>ebből: pénzmaradvány</t>
  </si>
  <si>
    <t>Bevételek összesen:</t>
  </si>
  <si>
    <t>K1</t>
  </si>
  <si>
    <t>Személyi juttatás</t>
  </si>
  <si>
    <t>K2</t>
  </si>
  <si>
    <t>Munkaadói járulék</t>
  </si>
  <si>
    <t>K3</t>
  </si>
  <si>
    <t>Dologi kiadás</t>
  </si>
  <si>
    <t>K4</t>
  </si>
  <si>
    <t>Ellátottak juttatásai</t>
  </si>
  <si>
    <t>K5</t>
  </si>
  <si>
    <t>Egyéb működési célú kiadás</t>
  </si>
  <si>
    <t>ebből: átadott pénzeszk.</t>
  </si>
  <si>
    <t xml:space="preserve">          tartalék</t>
  </si>
  <si>
    <t>K6</t>
  </si>
  <si>
    <t>K7</t>
  </si>
  <si>
    <t>K9</t>
  </si>
  <si>
    <t>Kiadások összesen:</t>
  </si>
  <si>
    <t>Sorszám</t>
  </si>
  <si>
    <t xml:space="preserve">Feladat mutató </t>
  </si>
  <si>
    <t>Normatíva (Ft)</t>
  </si>
  <si>
    <t>Összeg (Ft)</t>
  </si>
  <si>
    <t>Önkormányzatok működésének általános támogatása</t>
  </si>
  <si>
    <t>Önkormányzati hivatal müködési támogatása</t>
  </si>
  <si>
    <t>fő</t>
  </si>
  <si>
    <t>Településüzemeltetéshez kapcsolódó feladatok támogatása összesen</t>
  </si>
  <si>
    <t xml:space="preserve"> ebből: zöldterület gazdálkodás</t>
  </si>
  <si>
    <t>ha</t>
  </si>
  <si>
    <t xml:space="preserve">             közvilágítás </t>
  </si>
  <si>
    <t>km</t>
  </si>
  <si>
    <t xml:space="preserve">             köztemető fenntartás</t>
  </si>
  <si>
    <t xml:space="preserve">             közutak fenntartása</t>
  </si>
  <si>
    <t>Egyéb önkormányzati feladatok</t>
  </si>
  <si>
    <t>Lakott külterület</t>
  </si>
  <si>
    <t xml:space="preserve">Üdülőhelyi feladatok </t>
  </si>
  <si>
    <t>Ft</t>
  </si>
  <si>
    <t>Elvonások</t>
  </si>
  <si>
    <t>Köznevelési feladatok támogatása</t>
  </si>
  <si>
    <t xml:space="preserve">Óvónők bértámogatása </t>
  </si>
  <si>
    <t xml:space="preserve">Óvodai munkát segítők bértámogatása </t>
  </si>
  <si>
    <t>Óvodaműködtetési támogatás</t>
  </si>
  <si>
    <t>Köznevelési intéznények működtetéséhez kapcs.tám</t>
  </si>
  <si>
    <t>Kiegészítő támogatás az óvodapedagógusok minősítéséből adódó többletkiadásokhoz</t>
  </si>
  <si>
    <t>Szociális, gyermekjóléti és gyermekétkeztetési támogatás</t>
  </si>
  <si>
    <t>Pénzbeli szociális ellátások kiegészítése</t>
  </si>
  <si>
    <t>Szociális feladatok egyéb támogatása</t>
  </si>
  <si>
    <t>Szociális és gyermekjóléti feladatok támogatása</t>
  </si>
  <si>
    <t>ebből: Család és gyermekjóléti szolgálat</t>
  </si>
  <si>
    <t xml:space="preserve">            Család és gyermekjóléti központ</t>
  </si>
  <si>
    <t xml:space="preserve">            Szociális étkeztetés</t>
  </si>
  <si>
    <t xml:space="preserve">            Házi segítségnyújtás</t>
  </si>
  <si>
    <t xml:space="preserve">            Időskorúak  nappali intézm. ellátása</t>
  </si>
  <si>
    <t xml:space="preserve">            Bölcsődei ellátás</t>
  </si>
  <si>
    <t>Egyes szociálsi szakosított ellátások támogatása</t>
  </si>
  <si>
    <t>Gyermekétkeztetés támogatása</t>
  </si>
  <si>
    <t>Közművelődési feladatok támogatása</t>
  </si>
  <si>
    <t>Állami támogatás összesen</t>
  </si>
  <si>
    <t>Siklósi Mikrotérs. Szoc. és Gyerekjóléti Int.Fenntartó Társ.</t>
  </si>
  <si>
    <t>Mecsek Dráva Önkormányzati Társulás</t>
  </si>
  <si>
    <t>Kedvezményezett</t>
  </si>
  <si>
    <t>Siklós Város Önkormányzata</t>
  </si>
  <si>
    <t>Címszám</t>
  </si>
  <si>
    <t>Cím megnevezése</t>
  </si>
  <si>
    <t>I.</t>
  </si>
  <si>
    <t>II.</t>
  </si>
  <si>
    <t>Mattyi Óvoda</t>
  </si>
  <si>
    <t>Eredeti előirányzat</t>
  </si>
  <si>
    <t>Matty Község Önkormányzat címrendje</t>
  </si>
  <si>
    <t>Matty Község Önkormányzata 2016. évi előirányzat felhasználási ütemterv</t>
  </si>
  <si>
    <t>Matty Község Önkormányzatának működésre átadott pénzeszközei</t>
  </si>
  <si>
    <t>Légrugós gjm. 10%-50%</t>
  </si>
  <si>
    <t>Matty Községért Egyesület</t>
  </si>
  <si>
    <t>Mikrotérség</t>
  </si>
  <si>
    <t>Különbozet</t>
  </si>
  <si>
    <t>Települési támogatás</t>
  </si>
  <si>
    <t xml:space="preserve">Matty Község Önkormányzatának Összevont Kiadásai </t>
  </si>
  <si>
    <t>Matty Község állami támogatása</t>
  </si>
  <si>
    <t>Árú és készlet értékesítés</t>
  </si>
  <si>
    <t>Működési célú kölcsönök visszatér. ÁH-on belül</t>
  </si>
  <si>
    <t>Egyéb felhalmozási célú pénzeszközök ÁH-on belül</t>
  </si>
  <si>
    <t xml:space="preserve"> ebből: Tartalékok összesen</t>
  </si>
  <si>
    <t>Bevételek</t>
  </si>
  <si>
    <t>Kiadások</t>
  </si>
  <si>
    <t>Iparűzési adó</t>
  </si>
  <si>
    <t>Matty Község Önkormányzat bevételeinek és kiadásainak alakulása a 2017-2018-2019 években</t>
  </si>
  <si>
    <t>Kötelezettség fajtája</t>
  </si>
  <si>
    <t>Kamat</t>
  </si>
  <si>
    <t>Ténylegesen fennálló fizetési kötelezettség</t>
  </si>
  <si>
    <t>Fejlesztési hitel</t>
  </si>
  <si>
    <t>Tőke</t>
  </si>
  <si>
    <t>ezer Ft</t>
  </si>
  <si>
    <t>Fennálló kötelezettség 2015.12.31-én</t>
  </si>
  <si>
    <t>Beruházási kiadás összesen:</t>
  </si>
  <si>
    <t>Felújítás összesen:</t>
  </si>
  <si>
    <t>Felhalmozási kiadások összesen:</t>
  </si>
  <si>
    <t>Székvásárlás-Művelődési ház</t>
  </si>
  <si>
    <t>Orvosi rendelő kerítésének felújítása</t>
  </si>
  <si>
    <t>Útfelújítás</t>
  </si>
  <si>
    <t>. melléklet a …/2016(II.03) számú önkormányzati rendelethez</t>
  </si>
  <si>
    <t>Matty Község Önkormányzat kötelezettsége éves bontásban</t>
  </si>
  <si>
    <t>I. módosítás</t>
  </si>
  <si>
    <t>II. módosítás</t>
  </si>
  <si>
    <t>III. módosítás</t>
  </si>
  <si>
    <t>Módosított előirányzat</t>
  </si>
  <si>
    <t>K914</t>
  </si>
  <si>
    <t>Államháztartáson belüli megelőlegezések visszafizetése</t>
  </si>
  <si>
    <t>K513.</t>
  </si>
  <si>
    <t>adatok Ft-ban</t>
  </si>
  <si>
    <t>B411.</t>
  </si>
  <si>
    <t>Biztosító által fizetett kártérítés</t>
  </si>
  <si>
    <t>II. Módosítás</t>
  </si>
  <si>
    <t>III. Módosítás</t>
  </si>
  <si>
    <t>Start program keretében eszköz beszerzés</t>
  </si>
  <si>
    <t>Matty Község Önkormányzatának felhalmozási kiadásai címenként (ÁFA-val együtt)</t>
  </si>
  <si>
    <t>. melléklet</t>
  </si>
  <si>
    <t>Módosítás</t>
  </si>
  <si>
    <t>Bérleti és lízingdíj</t>
  </si>
  <si>
    <t>I. Módosítás</t>
  </si>
  <si>
    <t>II. Móddosítás</t>
  </si>
  <si>
    <r>
      <t xml:space="preserve">Kormányzati funkció: </t>
    </r>
    <r>
      <rPr>
        <b/>
        <i/>
        <sz val="10"/>
        <color indexed="8"/>
        <rFont val="Calibri"/>
        <family val="2"/>
      </rPr>
      <t>104037 Intézményen kívüli gyermekétkezés</t>
    </r>
  </si>
  <si>
    <t>Elszámolásból származó bevételek (B116)</t>
  </si>
  <si>
    <t>Működési célú költségvetési támogatások és kiegészítő támogatások (B115)</t>
  </si>
  <si>
    <t>Önkormányzat kulturális feladatainak támogatása (B114)</t>
  </si>
  <si>
    <t>Önkormányzat általános támogatása (B111)</t>
  </si>
  <si>
    <t>Települési önkormányzat köznev. feladatainak tám. (B112)</t>
  </si>
  <si>
    <t>Önkormányzat szociális és gyermekjóléti feladatainak tám. (B113)</t>
  </si>
  <si>
    <t>Különbségnek egyenlőnek kell lennie a K915 értékével</t>
  </si>
  <si>
    <t xml:space="preserve">Matty Község Önkormányzatának és szakfeladatainak Összevont Bevételei </t>
  </si>
  <si>
    <t xml:space="preserve">Matty Község Önkormányzatának és szakfeladatainak Összevont Kiadásai </t>
  </si>
  <si>
    <t>K513</t>
  </si>
  <si>
    <t>Tartalékok</t>
  </si>
  <si>
    <t>K506</t>
  </si>
  <si>
    <t>Egyéb működési támogatások ÁH-on belül</t>
  </si>
  <si>
    <t>III. Móddosítás</t>
  </si>
  <si>
    <r>
      <rPr>
        <sz val="9"/>
        <rFont val="Calibri"/>
        <family val="2"/>
      </rPr>
      <t>Tárgyi eszk. vagyonkezelése,</t>
    </r>
    <r>
      <rPr>
        <sz val="9"/>
        <color indexed="8"/>
        <rFont val="Calibri"/>
        <family val="2"/>
      </rPr>
      <t xml:space="preserve"> értékesítéséből szárm. bev. (haszonbérlet)</t>
    </r>
  </si>
  <si>
    <t>Rovat-szám</t>
  </si>
  <si>
    <r>
      <rPr>
        <sz val="8"/>
        <rFont val="Calibri"/>
        <family val="2"/>
      </rPr>
      <t>Tárgyi eszk. vagyonkezelése,</t>
    </r>
    <r>
      <rPr>
        <sz val="8"/>
        <color indexed="8"/>
        <rFont val="Calibri"/>
        <family val="2"/>
      </rPr>
      <t xml:space="preserve"> értékesítéséből szárm. bev. (haszonbérlet)</t>
    </r>
  </si>
  <si>
    <t>IV. módosítás</t>
  </si>
  <si>
    <t>Szakmai tevékenység</t>
  </si>
  <si>
    <t xml:space="preserve">Államháztartáson belüli megelőlegezések </t>
  </si>
  <si>
    <t>B814</t>
  </si>
  <si>
    <t>Államháztartáson belüli megelőlegezések</t>
  </si>
  <si>
    <t>Teljesítés Ft-ban</t>
  </si>
  <si>
    <t>Teljesítés %-ban</t>
  </si>
  <si>
    <t>2016. évi zárszámadás</t>
  </si>
  <si>
    <t>Pénzeszköz változás</t>
  </si>
  <si>
    <t>Működési célú támogatások ÁH-on belülről</t>
  </si>
  <si>
    <t>Felhalmozási célú átvett pénzeszközök</t>
  </si>
  <si>
    <t>B1-B8</t>
  </si>
  <si>
    <t>Munkaadókat terhelő járulékok</t>
  </si>
  <si>
    <t>ebből: átadott pénzeszköz</t>
  </si>
  <si>
    <t xml:space="preserve">          tartalékok</t>
  </si>
  <si>
    <t>K8</t>
  </si>
  <si>
    <t>K1-K9</t>
  </si>
  <si>
    <t>Maradványkimutatás</t>
  </si>
  <si>
    <t>Önkormányzat és intézményei</t>
  </si>
  <si>
    <t xml:space="preserve">Önkormányzat </t>
  </si>
  <si>
    <t>01.</t>
  </si>
  <si>
    <t xml:space="preserve">  Alaptevékenység költségvetési bevételei</t>
  </si>
  <si>
    <t>02.</t>
  </si>
  <si>
    <t xml:space="preserve">  Alaptevékenység költségvetési kiadásai</t>
  </si>
  <si>
    <t xml:space="preserve">  Alaptevékenység költégvetési egyenlege (01.-02)</t>
  </si>
  <si>
    <t>03.</t>
  </si>
  <si>
    <t xml:space="preserve">  Alaptevékenység finanszírozási bevétele</t>
  </si>
  <si>
    <t>04.</t>
  </si>
  <si>
    <t xml:space="preserve">  Alaptevékenység finanszírozási kiadásai</t>
  </si>
  <si>
    <t xml:space="preserve">  Alaptevékenység finanszírozási egyenlege (03.-04)</t>
  </si>
  <si>
    <t>A)</t>
  </si>
  <si>
    <t>Alaptevékenység maradványa (I.+II.)</t>
  </si>
  <si>
    <t>05.</t>
  </si>
  <si>
    <t xml:space="preserve">  Vállalkozási tevékenység költségvetési bevételei</t>
  </si>
  <si>
    <t>06.</t>
  </si>
  <si>
    <t xml:space="preserve">  Vállalkozási tevékenység költségvetési kiadásai</t>
  </si>
  <si>
    <t>III.</t>
  </si>
  <si>
    <t xml:space="preserve">  Vállalkozási tevékenység költségvetési egyenlege (05.-06.)</t>
  </si>
  <si>
    <t>07.</t>
  </si>
  <si>
    <t xml:space="preserve">  Vállalkozási tevékenység finanszírozási bevételei</t>
  </si>
  <si>
    <t>08.</t>
  </si>
  <si>
    <t xml:space="preserve">  Vállalkozási tevékenység finanszírozási kiadásai</t>
  </si>
  <si>
    <t>IV.</t>
  </si>
  <si>
    <t xml:space="preserve">  Vállalkozási tevékenység finanszírozási egyenlege (07.-08.)</t>
  </si>
  <si>
    <t>B)</t>
  </si>
  <si>
    <t>Vállalkozási tevékenység maradványa (III.+IV.)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</si>
  <si>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</si>
  <si>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</si>
  <si>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</si>
  <si>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</si>
  <si>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</si>
  <si>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</si>
  <si>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</si>
  <si>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(Bx0,1)</t>
  </si>
  <si>
    <t>G)</t>
  </si>
  <si>
    <t>Vállakozási tevékenység felhasználható maradványa ( B-F)</t>
  </si>
  <si>
    <t>Családi támogatás</t>
  </si>
  <si>
    <t>K48.</t>
  </si>
  <si>
    <t>Kistérségi Községe Országos Szövetsége</t>
  </si>
  <si>
    <t>Egyház támogatása a Mattyi templon harangfelújításához</t>
  </si>
  <si>
    <t>NefalaEgyesülés</t>
  </si>
  <si>
    <t>Tagdíj</t>
  </si>
  <si>
    <t>Óvoda eszközbeszerzés</t>
  </si>
  <si>
    <t>Kazánház fűtési rendszerének cseréje</t>
  </si>
  <si>
    <t>Beépített biztonsági infrakamera</t>
  </si>
  <si>
    <t>Információs táblák, zászlók</t>
  </si>
  <si>
    <t xml:space="preserve">Irodai eszközök </t>
  </si>
  <si>
    <t>Munkaadót terhelő járulékok</t>
  </si>
  <si>
    <t>Műkdési célú átvett pénzeszközök</t>
  </si>
  <si>
    <t>Működési bevételek összesen</t>
  </si>
  <si>
    <t>ebből: Tartalék</t>
  </si>
  <si>
    <t>Működési kaidások összesen</t>
  </si>
  <si>
    <t>Felhalmozási bevételek összesen</t>
  </si>
  <si>
    <t>Felhalmozási kiadások összesen</t>
  </si>
  <si>
    <t>Finanszírozási kiadások összesen</t>
  </si>
  <si>
    <t>Bevétel együtt</t>
  </si>
  <si>
    <t>Kiadások együtt</t>
  </si>
  <si>
    <t>Finanszírozási bevételek összesen</t>
  </si>
  <si>
    <t>2.a</t>
  </si>
  <si>
    <t>2.b</t>
  </si>
  <si>
    <t>Matty Község Önkormányzat</t>
  </si>
  <si>
    <t>Mérleg</t>
  </si>
  <si>
    <t>ESZKÖZÖK</t>
  </si>
  <si>
    <t>Előző időszak</t>
  </si>
  <si>
    <t>Változás %-a</t>
  </si>
  <si>
    <t>1.</t>
  </si>
  <si>
    <t>2.</t>
  </si>
  <si>
    <t>3.</t>
  </si>
  <si>
    <t>4.</t>
  </si>
  <si>
    <t>5.</t>
  </si>
  <si>
    <t>A)/I/1</t>
  </si>
  <si>
    <t xml:space="preserve">Vagyoni értékű jogok </t>
  </si>
  <si>
    <t>A)/I/2</t>
  </si>
  <si>
    <t>Szellemi termékek</t>
  </si>
  <si>
    <t>A)/I/3</t>
  </si>
  <si>
    <t xml:space="preserve">Immateriális javak értékhelyesbítése </t>
  </si>
  <si>
    <t>A)/I</t>
  </si>
  <si>
    <t>Immateriális javak  (=A)/I/1+A)/I/2+A)/I/3)</t>
  </si>
  <si>
    <t>A)/II/1</t>
  </si>
  <si>
    <t xml:space="preserve">Ingatlanok és a kapcsolódó vagyoni értékű jogok </t>
  </si>
  <si>
    <t>A)/II/2</t>
  </si>
  <si>
    <t xml:space="preserve">Gépek, berendezések, felszerelések, járművek </t>
  </si>
  <si>
    <t>A)/II/3</t>
  </si>
  <si>
    <t xml:space="preserve">Tenyészállatok </t>
  </si>
  <si>
    <t>A)/II/4</t>
  </si>
  <si>
    <t xml:space="preserve">Beruházások, felújítások </t>
  </si>
  <si>
    <t>A)/II/5</t>
  </si>
  <si>
    <t>Tárgyi eszközök értékhelyesbítése</t>
  </si>
  <si>
    <t>A)/II</t>
  </si>
  <si>
    <t>Tárgyi eszközök  (=A)/II/1+...+A)/II/5)</t>
  </si>
  <si>
    <t>A)/III/1</t>
  </si>
  <si>
    <t xml:space="preserve">Tartós részesedések </t>
  </si>
  <si>
    <t>A)/III/1a</t>
  </si>
  <si>
    <t>- ebből: tartós részesedések jegybankban</t>
  </si>
  <si>
    <t>A)/III/1b</t>
  </si>
  <si>
    <t>- ebből: tartós részesedések társulásban</t>
  </si>
  <si>
    <t>A)/III/2</t>
  </si>
  <si>
    <t>Tartós hitelviszonyt megtestesítő értékpapírok</t>
  </si>
  <si>
    <t>A)/III/2a</t>
  </si>
  <si>
    <t>- ebből: államkötvények</t>
  </si>
  <si>
    <t>A)/III/2b</t>
  </si>
  <si>
    <t>- ebből: helyi önkormányzatok kötvényei</t>
  </si>
  <si>
    <t>A)/III/3</t>
  </si>
  <si>
    <t xml:space="preserve">Befektetett pénzügyi eszközök értékhelyesbítése </t>
  </si>
  <si>
    <t>A)/III</t>
  </si>
  <si>
    <t>Befektetett pénzügyi eszközök (=A)/III/1+A)/III/2+A)/III/3)</t>
  </si>
  <si>
    <t>A)/IV/1</t>
  </si>
  <si>
    <t xml:space="preserve">Koncesszióba, vagyonkezelésbe adott eszközök </t>
  </si>
  <si>
    <t>A)/IV/2</t>
  </si>
  <si>
    <t xml:space="preserve">Koncesszióba, vagyonkezelésbe adott eszközök értékhelyesbítése </t>
  </si>
  <si>
    <t>A)/IV</t>
  </si>
  <si>
    <t>Koncesszióba, vagyonkezelésbe adott eszközök  (=A)/IV/1+A)/IV/2)</t>
  </si>
  <si>
    <t>NEMZETI VAGYONBA TARTOZÓ BEFEKTETETT ESZKÖZÖK (=A)/I+A)/II+A)/III+A)/IV)</t>
  </si>
  <si>
    <t>B)/I/1</t>
  </si>
  <si>
    <t>Vásárolt készletek</t>
  </si>
  <si>
    <t>B)/I/2</t>
  </si>
  <si>
    <t>Átsorolt, követelés fejében átvett készletek</t>
  </si>
  <si>
    <t>B)/I/3</t>
  </si>
  <si>
    <t>Egyéb készletek</t>
  </si>
  <si>
    <t>B)/I/4</t>
  </si>
  <si>
    <t xml:space="preserve">Befejezetlen termelés, félkész termékek, késztermékek </t>
  </si>
  <si>
    <t>B)/I/5</t>
  </si>
  <si>
    <t xml:space="preserve">Növendék-, hízó és egyéb állatok </t>
  </si>
  <si>
    <t>B)/I</t>
  </si>
  <si>
    <t>Készletek (=B)/I/1+…+B)/I/5)</t>
  </si>
  <si>
    <t>B)/II/1</t>
  </si>
  <si>
    <t>Nem tartós részesedések</t>
  </si>
  <si>
    <t>B)/II/2</t>
  </si>
  <si>
    <t>Forgatási célú hitelviszonyt megtestesítő értékpapírok</t>
  </si>
  <si>
    <t>B)/II/2a</t>
  </si>
  <si>
    <t>- ebből: kárpótlási jegyek</t>
  </si>
  <si>
    <t>B)/II/2b</t>
  </si>
  <si>
    <t>- ebből: kincstárjegyek</t>
  </si>
  <si>
    <t>B)/II/2c</t>
  </si>
  <si>
    <t>B)/II/2d</t>
  </si>
  <si>
    <t>B)/II/2e</t>
  </si>
  <si>
    <t>- ebből: befektetési jegyek</t>
  </si>
  <si>
    <t>B)/II</t>
  </si>
  <si>
    <t>Értékpapírok (=B)/II/1+B)/II/2)</t>
  </si>
  <si>
    <t>NEMZETI VAGYONBA TARTOZÓ FORGÓESZKÖZÖK (= B)/I+B)/II)</t>
  </si>
  <si>
    <t>C)/I</t>
  </si>
  <si>
    <t>Hosszú lejáratú betétek</t>
  </si>
  <si>
    <t>C)/II</t>
  </si>
  <si>
    <t>Pénztárak, csekkek, betétkönyvek</t>
  </si>
  <si>
    <t>C)/III</t>
  </si>
  <si>
    <t xml:space="preserve">Forintszámlák </t>
  </si>
  <si>
    <t>C)/IV</t>
  </si>
  <si>
    <t>Devizaszámlák</t>
  </si>
  <si>
    <t>C)/V</t>
  </si>
  <si>
    <t>Idegen pénzeszközök</t>
  </si>
  <si>
    <t>PÉNZESZKÖZÖK (=C)/I+…+C)/V)</t>
  </si>
  <si>
    <t>D)/I/1</t>
  </si>
  <si>
    <t>Költségvetési évben esedékes követelések működési célú támogatások bevételeire államháztartáson belülről</t>
  </si>
  <si>
    <t>D)/I/1a</t>
  </si>
  <si>
    <t>- ebből: költségvetési évben esedékes követelések működési célú visszatérítendő támogatások, kölcsönök visszatérülésére államháztartáson belülről</t>
  </si>
  <si>
    <t>D)/I/2</t>
  </si>
  <si>
    <t>Költségvetési évben esedékes követelések felhalmozási célú támogatások bevételeire államháztartáson belülről</t>
  </si>
  <si>
    <t>D)/I/2a</t>
  </si>
  <si>
    <t>- ebből: költségvetési évben esedékes követelések felhalmozási célú visszatérítendő támogatások, kölcsönök visszatérülésére államháztartáson belülről</t>
  </si>
  <si>
    <t>D)/I/3</t>
  </si>
  <si>
    <t>Költségvetési évben esedékes követelések közhatalmi bevételre</t>
  </si>
  <si>
    <t>D)/I/4</t>
  </si>
  <si>
    <t xml:space="preserve">Költségvetési évben esedékes követelések működési bevételre </t>
  </si>
  <si>
    <t>D)/I/5</t>
  </si>
  <si>
    <t xml:space="preserve">Költségvetési évben esedékes követelések felhalmozási bevételre </t>
  </si>
  <si>
    <t>D)/I/6</t>
  </si>
  <si>
    <t xml:space="preserve">Költségvetési évben esedékes követelések működési célú átvett pénzeszközre </t>
  </si>
  <si>
    <t>D)/I/6a</t>
  </si>
  <si>
    <t>- ebből: költségvetési évben esedékes követelések működési célú visszatérítendő támogatások, kölcsönök visszatérülésére államháztartáson kívülről</t>
  </si>
  <si>
    <t>D)/I/7</t>
  </si>
  <si>
    <t xml:space="preserve">Költségvetési évben esedékes követelések felhalmozási célú átvett pénzeszközre </t>
  </si>
  <si>
    <t>D)/I/7a</t>
  </si>
  <si>
    <t>- ebből: költségvetési évben esedékes követelések felhalmozási célú visszatérítendő támogatások, kölcsönök visszatérülésére államháztartáson kívülről</t>
  </si>
  <si>
    <t>D)/I/8</t>
  </si>
  <si>
    <t xml:space="preserve">Költségvetési évben esedékes követelések finanszírozási bevételekre </t>
  </si>
  <si>
    <t>D)/I/8a</t>
  </si>
  <si>
    <t>- ebből: költségvetési évben esedékes követelések államháztartáson belüli megelőlegezések törlesztésére</t>
  </si>
  <si>
    <t>D)/I</t>
  </si>
  <si>
    <t>Költségvetési évben esedékes követelések (=D)/I/1+…+D)/I/8)</t>
  </si>
  <si>
    <t>D)/II/1</t>
  </si>
  <si>
    <t>Költségvetési évet követően esedékes követelések működési célú támogatások bevételeire államháztartáson belülről</t>
  </si>
  <si>
    <t>D)/II/1a</t>
  </si>
  <si>
    <t>- ebből: költségvetési évet követően esedékes követelések működési célú visszatérítendő támogatások, kölcsönök visszatérülésére államháztartáson belülről</t>
  </si>
  <si>
    <t>D)/II/2</t>
  </si>
  <si>
    <t>Költségvetési évet követően esedékes követelések felhalmozási célú támogatások bevételeire államháztartáson belülről</t>
  </si>
  <si>
    <t>D)/II/2a</t>
  </si>
  <si>
    <t>- ebből: költségvetési évet követően esedékes követelések felhalmozási célú visszatérítendő támogatások, kölcsönök visszatérülésére államháztartáson belülről</t>
  </si>
  <si>
    <t>D)/II/3</t>
  </si>
  <si>
    <t>Költségvetési évet követően esedékes követelések közhatalmi bevételre</t>
  </si>
  <si>
    <t>D)/II/4</t>
  </si>
  <si>
    <t xml:space="preserve">Költségvetési évet követően esedékes követelések működési bevételre </t>
  </si>
  <si>
    <t>D)/II/5</t>
  </si>
  <si>
    <t xml:space="preserve">Költségvetési évet követően esedékes követelések felhalmozási bevételre </t>
  </si>
  <si>
    <t>D)/II/6</t>
  </si>
  <si>
    <t xml:space="preserve">Költségvetési évet követően esedékes követelések működési célú átvett pénzeszközre </t>
  </si>
  <si>
    <t>D)/II/6a</t>
  </si>
  <si>
    <t>- ebből: költségvetési évet követően esedékes követelések működési célú visszatérítendő támogatások, kölcsönök visszatérülésére államháztartáson kívülről</t>
  </si>
  <si>
    <t>D)/II/7</t>
  </si>
  <si>
    <t xml:space="preserve">Költségvetési évet követően esedékes követelések felhalmozási célú átvett pénzeszközre </t>
  </si>
  <si>
    <t>D)/II/7a</t>
  </si>
  <si>
    <t>- ebből: költségvetési évet követően esedékes követelések felhalmozási célú visszatérítendő támogatások, kölcsönök visszatérülésére államháztartáson kívülről</t>
  </si>
  <si>
    <t>D)/II/8</t>
  </si>
  <si>
    <t xml:space="preserve">Költségvetési évet követően esedékes követelések finanszírozási bevételekre </t>
  </si>
  <si>
    <t>D)/II8a</t>
  </si>
  <si>
    <t>- ebből: költségvetési évet követően esedékes követelések államháztartáson belüli megelőlegezések törlesztésére</t>
  </si>
  <si>
    <t>D)/II</t>
  </si>
  <si>
    <t>Költségvetési évet követően esedékes követelések (=D)/II/1+…+D)/II/8)</t>
  </si>
  <si>
    <t>D)/III/1</t>
  </si>
  <si>
    <t>Adott előlegek</t>
  </si>
  <si>
    <t>D/III/1a</t>
  </si>
  <si>
    <r>
      <rPr>
        <sz val="8"/>
        <color indexed="8"/>
        <rFont val="Calibri"/>
        <family val="2"/>
      </rPr>
      <t>- ebből: immateriális javakra adott előlegek</t>
    </r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</si>
  <si>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</si>
  <si>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</si>
  <si>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</si>
  <si>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</si>
  <si>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</si>
  <si>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</si>
  <si>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</si>
  <si>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</si>
  <si>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D)/III/2</t>
  </si>
  <si>
    <t>Továbbadási célból folyósított támogatások, ellátások elszámolása</t>
  </si>
  <si>
    <t>D)/III/3</t>
  </si>
  <si>
    <t>Más által beszedett bevételek elszámolása</t>
  </si>
  <si>
    <t>D)/III/4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</si>
  <si>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</si>
  <si>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</si>
  <si>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</si>
  <si>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</si>
  <si>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</si>
  <si>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</si>
  <si>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</si>
  <si>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</si>
  <si>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</si>
  <si>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</si>
  <si>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</si>
  <si>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F)/1</t>
  </si>
  <si>
    <t>Eredményszemléletű bevételek aktív időbeli elhatárolása</t>
  </si>
  <si>
    <t>F)/2</t>
  </si>
  <si>
    <t>Költségek, ráfordítások aktív időbeli elhatárolása</t>
  </si>
  <si>
    <t>F)/3</t>
  </si>
  <si>
    <t>Halasztott ráfordítások</t>
  </si>
  <si>
    <t>AKTÍV IDŐBELI  ELHATÁROLÁSOK  (=F)/1+F)/2+F)/3)</t>
  </si>
  <si>
    <t>ESZKÖZÖK ÖSSZESEN [=A)+B)+C)+D)+E)+F)]</t>
  </si>
  <si>
    <t>G)I</t>
  </si>
  <si>
    <t>Nemzeti vagyon induláskori értéke</t>
  </si>
  <si>
    <t>G)II</t>
  </si>
  <si>
    <t>Nemzeti vagyon változásai</t>
  </si>
  <si>
    <t>G)III</t>
  </si>
  <si>
    <t>Egyéb eszközök induláskori értéke</t>
  </si>
  <si>
    <t>G)IV</t>
  </si>
  <si>
    <t>Felhalmozott eredmény</t>
  </si>
  <si>
    <t>G)V</t>
  </si>
  <si>
    <t>Eszközök értéhelyesbítésének forrása</t>
  </si>
  <si>
    <t>G)VI</t>
  </si>
  <si>
    <t>Mérleg szerinti eredmény</t>
  </si>
  <si>
    <t xml:space="preserve">SAJÁT TŐKE (=G/I+…+G/VI) </t>
  </si>
  <si>
    <t>H)/I/1</t>
  </si>
  <si>
    <t>Költségvetési évben esedékes kötelezettségek személyi juttatásokra</t>
  </si>
  <si>
    <t>H)/I/2</t>
  </si>
  <si>
    <t>Költségvetési évben esedékes kötelezettségek munkaadókat terhelő járulékokra és szociális hozzájárulási adóra</t>
  </si>
  <si>
    <t>H)/I/3</t>
  </si>
  <si>
    <t>Költségvetési évben esedékes kötelezettségek dologi kiadásokra</t>
  </si>
  <si>
    <t>H)/I/4</t>
  </si>
  <si>
    <t>Költségvetési évben esedékes kötelezettségek ellátottak pénzbeli juttatásaira</t>
  </si>
  <si>
    <t>H)/I/5</t>
  </si>
  <si>
    <t>Költségvetési évben esedékes kötelezettségek egyéb működési célú kiadásokra</t>
  </si>
  <si>
    <t>H)/I/5a</t>
  </si>
  <si>
    <t>- ebből: költségvetési évben esedékes kötelezettségek működési célú visszatérítendő támogatások, kölcsönök törlesztésére államháztartáson belülre</t>
  </si>
  <si>
    <t>H)/I/6</t>
  </si>
  <si>
    <t>Költségvetési évben esedékes kötelezettségek beruházásokra</t>
  </si>
  <si>
    <t>H)/I/7</t>
  </si>
  <si>
    <t>Költségvetési évben esedékes kötelezettségek felújításokra</t>
  </si>
  <si>
    <t>H)/I/8</t>
  </si>
  <si>
    <t>Költségvetési évben esedékes kötelezettségek egyéb felhalmozási célú kiadásokra</t>
  </si>
  <si>
    <t>H)/I/8a</t>
  </si>
  <si>
    <t>- ebből: költségvetési évben esedékes kötelezettségek felhalmozási célú visszatérítendő támogatások, kölcsönök törlesztésére államháztartáson belülre</t>
  </si>
  <si>
    <t>H)/I/9</t>
  </si>
  <si>
    <t>Költségvetési évben esedékes kötelezettségek finanszírozási kiadásokra</t>
  </si>
  <si>
    <t>H)/I/9a</t>
  </si>
  <si>
    <t>- ebből: költségvetési évben esedékes kötelezettségek államháztartáson belüli megelőlegezések visszafizetésére</t>
  </si>
  <si>
    <t>H)/I/9b</t>
  </si>
  <si>
    <t>- ebből: költségvetési évben esedékes kötelezettségek hosszú lejáratú hitelek, kölcsönök törlesztésére</t>
  </si>
  <si>
    <t>H)/I/9c</t>
  </si>
  <si>
    <t>- ebből: költségvetési évben esedékes kötelezettségek likviditási célú hitelek, kölcsönök törlesztésére pénzügyi vállalkozásoknak</t>
  </si>
  <si>
    <t>H)/I/9d</t>
  </si>
  <si>
    <t>- ebből: költségvetési évben esedékes kötelezettségek rövid lejáratú hitelek, kölcsönök törlesztésére</t>
  </si>
  <si>
    <t>H)/I/9e</t>
  </si>
  <si>
    <t>- ebből: költségvetési évben esedékes kötelezettségek külföldi hitelek, kölcsönök törlesztésére</t>
  </si>
  <si>
    <t>H)/I/9f</t>
  </si>
  <si>
    <t>- ebből: költségvetési évben esedékes kötelezettségek forgatási célú belföldi értékpapírok beváltására</t>
  </si>
  <si>
    <t>H)/I/9g</t>
  </si>
  <si>
    <t>- ebből: költségvetési évben esedékes kötelezettségek befektetési célú belföldi értékpapírok beváltására</t>
  </si>
  <si>
    <t>H)/I/9h</t>
  </si>
  <si>
    <t>- ebből: költségvetési évben esedékes kötelezettségek külföldi értékpapírok beváltására</t>
  </si>
  <si>
    <t>H)/I</t>
  </si>
  <si>
    <t>Költségvetési évben esedékes kötelezettségek (=H)/I/1+…H)/I/9)</t>
  </si>
  <si>
    <t>H)/II/1</t>
  </si>
  <si>
    <t>Költségvetési évet követően esedékes kötelezettségek személyi juttatásokra</t>
  </si>
  <si>
    <t>H)/II/2</t>
  </si>
  <si>
    <t>Költségvetési évet követően esedékes kötelezettségek munkaadókat terhelő járulékokra és szociális hozzájárulási adóra</t>
  </si>
  <si>
    <t>H)/II/3</t>
  </si>
  <si>
    <t>Költségvetési évet követően esedékes kötelezettségek dologi kiadásokra</t>
  </si>
  <si>
    <t>H)/II/4</t>
  </si>
  <si>
    <t>Költségvetési évet követően esedékes kötelezettségek ellátottak pénzbeli juttatásaira</t>
  </si>
  <si>
    <t>H)/II/5</t>
  </si>
  <si>
    <t>Költségvetési évet követően esedékes kötelezettségek egyéb működési célú kiadásokra</t>
  </si>
  <si>
    <t>H)/II/5a</t>
  </si>
  <si>
    <t>- ebből: költségvetési évet követően esedékes kötelezettségek működési célú visszatérítendő támogatások, kölcsönök törlesztésére államháztartáson belülre</t>
  </si>
  <si>
    <t>H)/II/6</t>
  </si>
  <si>
    <t>Költségvetési évet követően esedékes kötelezettségek beruházásokra</t>
  </si>
  <si>
    <t>H)/II/7</t>
  </si>
  <si>
    <t>Költségvetési évet követően esedékes kötelezettségek felújításokra</t>
  </si>
  <si>
    <t>H)/II/8</t>
  </si>
  <si>
    <t>Költségvetési évet követően esedékes kötelezettségek egyéb felhalmozási célú kiadásokra</t>
  </si>
  <si>
    <t>H)/II/8a</t>
  </si>
  <si>
    <t>- ebből: költségvetési évet követően esedékes kötelezettségek felhalmozási célú visszatérítendő támogatások, kölcsönök törlesztésére államháztartáson belülre</t>
  </si>
  <si>
    <t>H)/II/9</t>
  </si>
  <si>
    <t>Költségvetési évet követően esedékes kötelezettségek finanszírozási kiadásokra</t>
  </si>
  <si>
    <t>H)/II/9a</t>
  </si>
  <si>
    <t>- ebből: költségvetési évet követően esedékes kötelezettségek államháztartáson belüli megelőlegezések visszafizetésére</t>
  </si>
  <si>
    <t>H)/II/9b</t>
  </si>
  <si>
    <t>- ebből: költségvetési évet követően esedékes kötelezettségek hosszú lejáratú hitelek, kölcsönök törlesztésére</t>
  </si>
  <si>
    <t>H)/II/9c</t>
  </si>
  <si>
    <t>- ebből: költségvetési évet követően esedékes kötelezettségek likviditási célú hitelek, kölcsönök törlesztésére pénzügyi vállalkozásoknak</t>
  </si>
  <si>
    <t>H)/II/9d</t>
  </si>
  <si>
    <t>- ebből: költségvetési évet követően esedékes kötelezettségek rövid lejáratú hitelek, kölcsönök törlesztésére</t>
  </si>
  <si>
    <t>H)/II/9e</t>
  </si>
  <si>
    <t>- ebből: költségvetési évet követően esedékes kötelezettségek külföldi hitelek, kölcsönök törlesztésére</t>
  </si>
  <si>
    <t>H)/II/9f</t>
  </si>
  <si>
    <t>- ebből: költségvetési évet követően esedékes kötelezettségek forgatási célú belföldi értékpapírok beváltására</t>
  </si>
  <si>
    <t>H)/II/9g</t>
  </si>
  <si>
    <t>- ebből: költségvetési évet követően esedékes kötelezettségek befektetési célú belföldi értékpapírok beváltására</t>
  </si>
  <si>
    <t>H)/II/9h</t>
  </si>
  <si>
    <t>- ebből: költségvetési évévet követően esedékes kötelezettségek külföldi értékpapírok beváltására</t>
  </si>
  <si>
    <t>H)/II</t>
  </si>
  <si>
    <t>Költségvetési évet követően esedékes kötelezettségek (=H)/II/1+…H)/II/9)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</si>
  <si>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</si>
  <si>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</si>
  <si>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</si>
  <si>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</si>
  <si>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</si>
  <si>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</si>
  <si>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</si>
  <si>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</si>
  <si>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</si>
  <si>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</si>
  <si>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</si>
  <si>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</si>
  <si>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</si>
  <si>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</si>
  <si>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</si>
  <si>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</si>
  <si>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</si>
  <si>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</si>
  <si>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</si>
  <si>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</si>
  <si>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J)/1</t>
  </si>
  <si>
    <t>Eredményszemléletű bevételek passzív időbeli elhatárolása</t>
  </si>
  <si>
    <t>J)/2</t>
  </si>
  <si>
    <t>Költségek, ráfordítások passzív időbeli elhatárolása</t>
  </si>
  <si>
    <t>J)/3</t>
  </si>
  <si>
    <t>Halasztott eredményszemléletű bevételek</t>
  </si>
  <si>
    <t>PASSZÍV IDŐBELI ELHATÁROLÁSOK [=J/1+J/2+J/3]</t>
  </si>
  <si>
    <t>FORRÁSOK ÖSSZESEN [=G+H+I+J]</t>
  </si>
  <si>
    <t>2016. évi zárszámadáshoz</t>
  </si>
  <si>
    <t xml:space="preserve"> K42.</t>
  </si>
  <si>
    <t>ebből</t>
  </si>
  <si>
    <t>pénzbeli és természetbeni gyermekvédelmi támogatás</t>
  </si>
  <si>
    <t>Egyéb nem intézményi ellátások</t>
  </si>
  <si>
    <t>Részesedések</t>
  </si>
  <si>
    <t>Részesedés megnevezése</t>
  </si>
  <si>
    <t>Mérleg szerinti érték</t>
  </si>
  <si>
    <t>Névérték</t>
  </si>
  <si>
    <t>Részesedés aránya %-ban</t>
  </si>
  <si>
    <t>Tenkesvíz Kft</t>
  </si>
  <si>
    <t>Mohács Víz Kft</t>
  </si>
  <si>
    <t>DRV Zrt.</t>
  </si>
  <si>
    <t>Összesen:</t>
  </si>
  <si>
    <t>Sor-szám</t>
  </si>
  <si>
    <t>Családi támogatások</t>
  </si>
  <si>
    <t>-ebből egyéb pénzbeli és természetbeni gyermekvédelmi támogatások</t>
  </si>
  <si>
    <t>-ebből köztemetés</t>
  </si>
  <si>
    <t>-ebből települési támogatás</t>
  </si>
  <si>
    <t xml:space="preserve">-ebből önkormányzat által saját hatáskörben adott más ellátás </t>
  </si>
  <si>
    <t>Matty Község Önkormányzat által folyósított ellátások</t>
  </si>
  <si>
    <t>Óvoda</t>
  </si>
  <si>
    <t>. melléklet az 5/2017. (V. 26.)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</si>
</sst>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[$-40E]yyyy\.\ mmmm\ d\.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_-* #,##0\ _F_t_-;\-* #,##0\ _F_t_-;_-* &quot;-&quot;??\ _F_t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/>
      <bottom/>
    </border>
    <border>
      <left style="thin"/>
      <right style="medium"/>
      <top style="medium"/>
      <bottom style="double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n">
        <color indexed="8"/>
      </right>
      <top style="medium"/>
      <bottom style="thick">
        <color indexed="8"/>
      </bottom>
    </border>
    <border>
      <left style="medium"/>
      <right style="thin"/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9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7" fillId="0" borderId="25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24" xfId="0" applyNumberFormat="1" applyFont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0" xfId="0" applyAlignment="1">
      <alignment/>
    </xf>
    <xf numFmtId="3" fontId="7" fillId="0" borderId="12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right"/>
    </xf>
    <xf numFmtId="3" fontId="8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1" xfId="0" applyNumberFormat="1" applyFont="1" applyBorder="1" applyAlignment="1">
      <alignment horizontal="center"/>
    </xf>
    <xf numFmtId="9" fontId="16" fillId="0" borderId="42" xfId="6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42" xfId="0" applyNumberFormat="1" applyBorder="1" applyAlignment="1">
      <alignment/>
    </xf>
    <xf numFmtId="0" fontId="0" fillId="0" borderId="44" xfId="0" applyFont="1" applyBorder="1" applyAlignment="1">
      <alignment/>
    </xf>
    <xf numFmtId="3" fontId="0" fillId="0" borderId="44" xfId="0" applyNumberFormat="1" applyBorder="1" applyAlignment="1">
      <alignment horizontal="center" wrapText="1"/>
    </xf>
    <xf numFmtId="9" fontId="16" fillId="0" borderId="45" xfId="60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5" xfId="0" applyNumberFormat="1" applyBorder="1" applyAlignment="1">
      <alignment horizontal="center" wrapText="1"/>
    </xf>
    <xf numFmtId="3" fontId="0" fillId="0" borderId="45" xfId="0" applyNumberFormat="1" applyBorder="1" applyAlignment="1">
      <alignment/>
    </xf>
    <xf numFmtId="3" fontId="0" fillId="0" borderId="44" xfId="0" applyNumberFormat="1" applyFont="1" applyBorder="1" applyAlignment="1">
      <alignment horizontal="center"/>
    </xf>
    <xf numFmtId="174" fontId="0" fillId="0" borderId="45" xfId="0" applyNumberForma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/>
    </xf>
    <xf numFmtId="3" fontId="17" fillId="0" borderId="37" xfId="0" applyNumberFormat="1" applyFont="1" applyBorder="1" applyAlignment="1">
      <alignment/>
    </xf>
    <xf numFmtId="9" fontId="16" fillId="0" borderId="38" xfId="60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0" fontId="0" fillId="0" borderId="0" xfId="0" applyAlignment="1">
      <alignment horizontal="left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3" fontId="20" fillId="0" borderId="48" xfId="0" applyNumberFormat="1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3" fontId="20" fillId="0" borderId="45" xfId="0" applyNumberFormat="1" applyFont="1" applyBorder="1" applyAlignment="1">
      <alignment vertical="center" wrapText="1"/>
    </xf>
    <xf numFmtId="3" fontId="20" fillId="0" borderId="46" xfId="0" applyNumberFormat="1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3" fontId="20" fillId="0" borderId="45" xfId="0" applyNumberFormat="1" applyFont="1" applyBorder="1" applyAlignment="1">
      <alignment vertical="center" wrapText="1"/>
    </xf>
    <xf numFmtId="3" fontId="21" fillId="0" borderId="45" xfId="0" applyNumberFormat="1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3" fontId="19" fillId="0" borderId="39" xfId="0" applyNumberFormat="1" applyFont="1" applyBorder="1" applyAlignment="1">
      <alignment vertical="center" wrapText="1"/>
    </xf>
    <xf numFmtId="3" fontId="20" fillId="0" borderId="51" xfId="0" applyNumberFormat="1" applyFont="1" applyBorder="1" applyAlignment="1">
      <alignment vertical="center" wrapText="1"/>
    </xf>
    <xf numFmtId="3" fontId="20" fillId="0" borderId="52" xfId="0" applyNumberFormat="1" applyFont="1" applyBorder="1" applyAlignment="1">
      <alignment vertical="center" wrapText="1"/>
    </xf>
    <xf numFmtId="3" fontId="20" fillId="0" borderId="53" xfId="0" applyNumberFormat="1" applyFont="1" applyBorder="1" applyAlignment="1">
      <alignment vertical="center" wrapText="1"/>
    </xf>
    <xf numFmtId="3" fontId="20" fillId="0" borderId="54" xfId="0" applyNumberFormat="1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3" fontId="20" fillId="0" borderId="55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57" xfId="0" applyNumberFormat="1" applyFont="1" applyBorder="1" applyAlignment="1">
      <alignment vertical="center" wrapText="1"/>
    </xf>
    <xf numFmtId="0" fontId="84" fillId="0" borderId="0" xfId="0" applyFont="1" applyAlignment="1">
      <alignment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3" fontId="25" fillId="0" borderId="20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35" xfId="0" applyFont="1" applyBorder="1" applyAlignment="1">
      <alignment vertical="center" wrapText="1"/>
    </xf>
    <xf numFmtId="4" fontId="23" fillId="0" borderId="35" xfId="0" applyNumberFormat="1" applyFont="1" applyBorder="1" applyAlignment="1">
      <alignment vertical="center"/>
    </xf>
    <xf numFmtId="4" fontId="23" fillId="0" borderId="62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174" fontId="23" fillId="0" borderId="35" xfId="0" applyNumberFormat="1" applyFont="1" applyBorder="1" applyAlignment="1">
      <alignment vertical="center"/>
    </xf>
    <xf numFmtId="3" fontId="23" fillId="0" borderId="62" xfId="0" applyNumberFormat="1" applyFont="1" applyBorder="1" applyAlignment="1">
      <alignment vertical="center"/>
    </xf>
    <xf numFmtId="3" fontId="23" fillId="0" borderId="35" xfId="0" applyNumberFormat="1" applyFont="1" applyBorder="1" applyAlignment="1">
      <alignment vertical="center"/>
    </xf>
    <xf numFmtId="174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35" xfId="0" applyNumberFormat="1" applyFont="1" applyBorder="1" applyAlignment="1">
      <alignment horizontal="left" vertical="center"/>
    </xf>
    <xf numFmtId="3" fontId="23" fillId="0" borderId="62" xfId="0" applyNumberFormat="1" applyFont="1" applyBorder="1" applyAlignment="1">
      <alignment horizontal="left" vertical="center"/>
    </xf>
    <xf numFmtId="4" fontId="23" fillId="0" borderId="14" xfId="0" applyNumberFormat="1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4" fillId="0" borderId="35" xfId="0" applyFont="1" applyBorder="1" applyAlignment="1">
      <alignment vertical="center" wrapText="1"/>
    </xf>
    <xf numFmtId="3" fontId="25" fillId="0" borderId="35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5" fillId="0" borderId="35" xfId="0" applyNumberFormat="1" applyFont="1" applyBorder="1" applyAlignment="1">
      <alignment horizontal="right" vertical="center"/>
    </xf>
    <xf numFmtId="3" fontId="23" fillId="0" borderId="35" xfId="0" applyNumberFormat="1" applyFont="1" applyBorder="1" applyAlignment="1">
      <alignment horizontal="right" vertical="center"/>
    </xf>
    <xf numFmtId="3" fontId="23" fillId="0" borderId="29" xfId="0" applyNumberFormat="1" applyFont="1" applyFill="1" applyBorder="1" applyAlignment="1">
      <alignment vertical="center"/>
    </xf>
    <xf numFmtId="44" fontId="23" fillId="0" borderId="35" xfId="55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24" xfId="0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/>
    </xf>
    <xf numFmtId="3" fontId="27" fillId="0" borderId="64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0" fontId="6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9" fillId="0" borderId="65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vertical="center"/>
    </xf>
    <xf numFmtId="0" fontId="3" fillId="0" borderId="0" xfId="0" applyFont="1" applyAlignment="1">
      <alignment wrapText="1"/>
    </xf>
    <xf numFmtId="3" fontId="20" fillId="0" borderId="68" xfId="0" applyNumberFormat="1" applyFont="1" applyBorder="1" applyAlignment="1">
      <alignment vertical="center" wrapText="1"/>
    </xf>
    <xf numFmtId="3" fontId="20" fillId="0" borderId="69" xfId="0" applyNumberFormat="1" applyFont="1" applyBorder="1" applyAlignment="1">
      <alignment vertical="center" wrapText="1"/>
    </xf>
    <xf numFmtId="3" fontId="19" fillId="0" borderId="70" xfId="0" applyNumberFormat="1" applyFont="1" applyBorder="1" applyAlignment="1">
      <alignment vertical="center" wrapText="1"/>
    </xf>
    <xf numFmtId="0" fontId="20" fillId="0" borderId="71" xfId="0" applyFont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45" xfId="0" applyNumberFormat="1" applyBorder="1" applyAlignment="1">
      <alignment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85" fillId="0" borderId="4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85" fillId="0" borderId="50" xfId="0" applyFont="1" applyBorder="1" applyAlignment="1">
      <alignment horizontal="left" vertical="center" wrapText="1"/>
    </xf>
    <xf numFmtId="0" fontId="79" fillId="0" borderId="37" xfId="0" applyFont="1" applyBorder="1" applyAlignment="1">
      <alignment/>
    </xf>
    <xf numFmtId="0" fontId="79" fillId="0" borderId="38" xfId="0" applyFont="1" applyBorder="1" applyAlignment="1">
      <alignment wrapText="1"/>
    </xf>
    <xf numFmtId="0" fontId="85" fillId="0" borderId="7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wrapText="1"/>
    </xf>
    <xf numFmtId="3" fontId="30" fillId="0" borderId="14" xfId="0" applyNumberFormat="1" applyFont="1" applyBorder="1" applyAlignment="1">
      <alignment vertical="center" wrapText="1"/>
    </xf>
    <xf numFmtId="3" fontId="85" fillId="0" borderId="29" xfId="0" applyNumberFormat="1" applyFont="1" applyBorder="1" applyAlignment="1">
      <alignment vertical="center"/>
    </xf>
    <xf numFmtId="3" fontId="30" fillId="0" borderId="2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vertical="center" wrapText="1"/>
    </xf>
    <xf numFmtId="3" fontId="30" fillId="0" borderId="29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74" xfId="0" applyFont="1" applyBorder="1" applyAlignment="1">
      <alignment horizontal="center" vertical="center"/>
    </xf>
    <xf numFmtId="3" fontId="32" fillId="0" borderId="74" xfId="0" applyNumberFormat="1" applyFont="1" applyBorder="1" applyAlignment="1">
      <alignment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vertical="center"/>
    </xf>
    <xf numFmtId="3" fontId="31" fillId="0" borderId="29" xfId="0" applyNumberFormat="1" applyFont="1" applyBorder="1" applyAlignment="1">
      <alignment vertical="center"/>
    </xf>
    <xf numFmtId="3" fontId="32" fillId="0" borderId="75" xfId="0" applyNumberFormat="1" applyFont="1" applyBorder="1" applyAlignment="1">
      <alignment vertical="center"/>
    </xf>
    <xf numFmtId="3" fontId="32" fillId="0" borderId="76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2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vertical="center" wrapText="1"/>
    </xf>
    <xf numFmtId="3" fontId="7" fillId="0" borderId="80" xfId="0" applyNumberFormat="1" applyFont="1" applyBorder="1" applyAlignment="1">
      <alignment vertical="center" wrapText="1"/>
    </xf>
    <xf numFmtId="3" fontId="6" fillId="0" borderId="80" xfId="0" applyNumberFormat="1" applyFont="1" applyBorder="1" applyAlignment="1">
      <alignment vertical="center" wrapText="1"/>
    </xf>
    <xf numFmtId="3" fontId="83" fillId="0" borderId="26" xfId="0" applyNumberFormat="1" applyFont="1" applyBorder="1" applyAlignment="1">
      <alignment/>
    </xf>
    <xf numFmtId="3" fontId="83" fillId="0" borderId="81" xfId="0" applyNumberFormat="1" applyFont="1" applyBorder="1" applyAlignment="1">
      <alignment/>
    </xf>
    <xf numFmtId="3" fontId="83" fillId="0" borderId="29" xfId="0" applyNumberFormat="1" applyFont="1" applyBorder="1" applyAlignment="1">
      <alignment/>
    </xf>
    <xf numFmtId="3" fontId="86" fillId="0" borderId="21" xfId="0" applyNumberFormat="1" applyFont="1" applyBorder="1" applyAlignment="1">
      <alignment/>
    </xf>
    <xf numFmtId="3" fontId="86" fillId="0" borderId="82" xfId="0" applyNumberFormat="1" applyFont="1" applyBorder="1" applyAlignment="1">
      <alignment/>
    </xf>
    <xf numFmtId="3" fontId="83" fillId="0" borderId="12" xfId="0" applyNumberFormat="1" applyFont="1" applyBorder="1" applyAlignment="1">
      <alignment/>
    </xf>
    <xf numFmtId="3" fontId="83" fillId="0" borderId="14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3" fontId="86" fillId="0" borderId="11" xfId="0" applyNumberFormat="1" applyFont="1" applyBorder="1" applyAlignment="1">
      <alignment/>
    </xf>
    <xf numFmtId="3" fontId="86" fillId="0" borderId="18" xfId="0" applyNumberFormat="1" applyFont="1" applyBorder="1" applyAlignment="1">
      <alignment/>
    </xf>
    <xf numFmtId="0" fontId="6" fillId="0" borderId="83" xfId="0" applyFont="1" applyBorder="1" applyAlignment="1">
      <alignment vertical="center" wrapText="1"/>
    </xf>
    <xf numFmtId="0" fontId="83" fillId="0" borderId="0" xfId="0" applyFont="1" applyBorder="1" applyAlignment="1">
      <alignment/>
    </xf>
    <xf numFmtId="0" fontId="83" fillId="0" borderId="84" xfId="0" applyFont="1" applyBorder="1" applyAlignment="1">
      <alignment/>
    </xf>
    <xf numFmtId="3" fontId="7" fillId="0" borderId="85" xfId="0" applyNumberFormat="1" applyFont="1" applyBorder="1" applyAlignment="1">
      <alignment vertical="center" wrapText="1"/>
    </xf>
    <xf numFmtId="3" fontId="86" fillId="0" borderId="30" xfId="0" applyNumberFormat="1" applyFont="1" applyBorder="1" applyAlignment="1">
      <alignment/>
    </xf>
    <xf numFmtId="3" fontId="83" fillId="0" borderId="20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83" fillId="0" borderId="12" xfId="0" applyNumberFormat="1" applyFont="1" applyBorder="1" applyAlignment="1">
      <alignment vertical="center"/>
    </xf>
    <xf numFmtId="3" fontId="83" fillId="0" borderId="1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7" fillId="0" borderId="26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62" fillId="0" borderId="86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wrapText="1"/>
    </xf>
    <xf numFmtId="0" fontId="62" fillId="0" borderId="87" xfId="0" applyFont="1" applyBorder="1" applyAlignment="1">
      <alignment horizontal="center" wrapText="1"/>
    </xf>
    <xf numFmtId="0" fontId="83" fillId="0" borderId="0" xfId="0" applyFont="1" applyAlignment="1">
      <alignment horizontal="left"/>
    </xf>
    <xf numFmtId="0" fontId="83" fillId="0" borderId="0" xfId="0" applyFont="1" applyBorder="1" applyAlignment="1">
      <alignment horizontal="right" vertical="center"/>
    </xf>
    <xf numFmtId="0" fontId="83" fillId="0" borderId="0" xfId="0" applyFont="1" applyAlignment="1">
      <alignment/>
    </xf>
    <xf numFmtId="0" fontId="7" fillId="0" borderId="0" xfId="0" applyFont="1" applyAlignment="1">
      <alignment horizontal="right"/>
    </xf>
    <xf numFmtId="3" fontId="86" fillId="0" borderId="10" xfId="0" applyNumberFormat="1" applyFont="1" applyBorder="1" applyAlignment="1">
      <alignment/>
    </xf>
    <xf numFmtId="3" fontId="83" fillId="0" borderId="25" xfId="0" applyNumberFormat="1" applyFont="1" applyBorder="1" applyAlignment="1">
      <alignment/>
    </xf>
    <xf numFmtId="3" fontId="83" fillId="0" borderId="27" xfId="0" applyNumberFormat="1" applyFont="1" applyBorder="1" applyAlignment="1">
      <alignment/>
    </xf>
    <xf numFmtId="0" fontId="6" fillId="0" borderId="88" xfId="0" applyFont="1" applyBorder="1" applyAlignment="1">
      <alignment vertical="center" wrapText="1"/>
    </xf>
    <xf numFmtId="0" fontId="6" fillId="0" borderId="89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3" fillId="0" borderId="83" xfId="0" applyFont="1" applyBorder="1" applyAlignment="1">
      <alignment/>
    </xf>
    <xf numFmtId="3" fontId="83" fillId="0" borderId="23" xfId="0" applyNumberFormat="1" applyFont="1" applyBorder="1" applyAlignment="1">
      <alignment/>
    </xf>
    <xf numFmtId="3" fontId="86" fillId="0" borderId="17" xfId="0" applyNumberFormat="1" applyFont="1" applyBorder="1" applyAlignment="1">
      <alignment/>
    </xf>
    <xf numFmtId="3" fontId="86" fillId="0" borderId="20" xfId="0" applyNumberFormat="1" applyFont="1" applyBorder="1" applyAlignment="1">
      <alignment/>
    </xf>
    <xf numFmtId="3" fontId="83" fillId="0" borderId="61" xfId="0" applyNumberFormat="1" applyFont="1" applyBorder="1" applyAlignment="1">
      <alignment/>
    </xf>
    <xf numFmtId="0" fontId="7" fillId="0" borderId="30" xfId="0" applyFont="1" applyBorder="1" applyAlignment="1">
      <alignment vertical="center" wrapText="1"/>
    </xf>
    <xf numFmtId="3" fontId="83" fillId="0" borderId="30" xfId="0" applyNumberFormat="1" applyFont="1" applyBorder="1" applyAlignment="1">
      <alignment/>
    </xf>
    <xf numFmtId="3" fontId="7" fillId="0" borderId="61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vertical="center" wrapText="1"/>
    </xf>
    <xf numFmtId="3" fontId="86" fillId="0" borderId="61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7" fillId="0" borderId="0" xfId="0" applyFont="1" applyAlignment="1">
      <alignment horizontal="right"/>
    </xf>
    <xf numFmtId="0" fontId="87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3" fontId="88" fillId="0" borderId="11" xfId="0" applyNumberFormat="1" applyFont="1" applyBorder="1" applyAlignment="1">
      <alignment horizontal="right"/>
    </xf>
    <xf numFmtId="0" fontId="34" fillId="0" borderId="25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vertical="center" wrapText="1"/>
    </xf>
    <xf numFmtId="3" fontId="34" fillId="0" borderId="79" xfId="0" applyNumberFormat="1" applyFont="1" applyBorder="1" applyAlignment="1">
      <alignment vertical="center" wrapText="1"/>
    </xf>
    <xf numFmtId="3" fontId="87" fillId="0" borderId="12" xfId="0" applyNumberFormat="1" applyFont="1" applyBorder="1" applyAlignment="1">
      <alignment/>
    </xf>
    <xf numFmtId="0" fontId="34" fillId="0" borderId="2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 wrapText="1"/>
    </xf>
    <xf numFmtId="3" fontId="34" fillId="0" borderId="35" xfId="0" applyNumberFormat="1" applyFont="1" applyBorder="1" applyAlignment="1">
      <alignment vertical="center" wrapText="1"/>
    </xf>
    <xf numFmtId="3" fontId="87" fillId="0" borderId="14" xfId="0" applyNumberFormat="1" applyFont="1" applyBorder="1" applyAlignment="1">
      <alignment/>
    </xf>
    <xf numFmtId="0" fontId="36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3" fontId="34" fillId="0" borderId="13" xfId="0" applyNumberFormat="1" applyFont="1" applyBorder="1" applyAlignment="1">
      <alignment vertical="center" wrapText="1"/>
    </xf>
    <xf numFmtId="3" fontId="34" fillId="0" borderId="85" xfId="0" applyNumberFormat="1" applyFont="1" applyBorder="1" applyAlignment="1">
      <alignment vertical="center" wrapText="1"/>
    </xf>
    <xf numFmtId="3" fontId="87" fillId="0" borderId="13" xfId="0" applyNumberFormat="1" applyFont="1" applyBorder="1" applyAlignment="1">
      <alignment/>
    </xf>
    <xf numFmtId="3" fontId="33" fillId="0" borderId="24" xfId="0" applyNumberFormat="1" applyFont="1" applyBorder="1" applyAlignment="1">
      <alignment vertical="center" wrapText="1"/>
    </xf>
    <xf numFmtId="3" fontId="88" fillId="0" borderId="11" xfId="0" applyNumberFormat="1" applyFont="1" applyBorder="1" applyAlignment="1">
      <alignment/>
    </xf>
    <xf numFmtId="3" fontId="35" fillId="0" borderId="12" xfId="0" applyNumberFormat="1" applyFont="1" applyBorder="1" applyAlignment="1">
      <alignment vertical="center" wrapText="1"/>
    </xf>
    <xf numFmtId="3" fontId="35" fillId="0" borderId="79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35" fillId="0" borderId="35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3" fontId="89" fillId="0" borderId="14" xfId="0" applyNumberFormat="1" applyFont="1" applyBorder="1" applyAlignment="1">
      <alignment/>
    </xf>
    <xf numFmtId="0" fontId="34" fillId="0" borderId="13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3" fontId="33" fillId="0" borderId="35" xfId="0" applyNumberFormat="1" applyFont="1" applyBorder="1" applyAlignment="1">
      <alignment vertical="center" wrapText="1"/>
    </xf>
    <xf numFmtId="3" fontId="33" fillId="0" borderId="79" xfId="0" applyNumberFormat="1" applyFont="1" applyBorder="1" applyAlignment="1">
      <alignment vertical="center" wrapText="1"/>
    </xf>
    <xf numFmtId="3" fontId="33" fillId="0" borderId="85" xfId="0" applyNumberFormat="1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3" fontId="34" fillId="0" borderId="30" xfId="0" applyNumberFormat="1" applyFont="1" applyBorder="1" applyAlignment="1">
      <alignment vertical="center" wrapText="1"/>
    </xf>
    <xf numFmtId="3" fontId="33" fillId="0" borderId="63" xfId="0" applyNumberFormat="1" applyFont="1" applyBorder="1" applyAlignment="1">
      <alignment vertical="center" wrapText="1"/>
    </xf>
    <xf numFmtId="0" fontId="34" fillId="0" borderId="90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3" fontId="34" fillId="0" borderId="22" xfId="0" applyNumberFormat="1" applyFont="1" applyBorder="1" applyAlignment="1">
      <alignment vertical="center" wrapText="1"/>
    </xf>
    <xf numFmtId="3" fontId="33" fillId="0" borderId="80" xfId="0" applyNumberFormat="1" applyFont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vertical="center" wrapText="1"/>
    </xf>
    <xf numFmtId="3" fontId="33" fillId="0" borderId="24" xfId="0" applyNumberFormat="1" applyFont="1" applyFill="1" applyBorder="1" applyAlignment="1">
      <alignment vertical="center" wrapText="1"/>
    </xf>
    <xf numFmtId="3" fontId="87" fillId="0" borderId="0" xfId="0" applyNumberFormat="1" applyFont="1" applyAlignment="1">
      <alignment/>
    </xf>
    <xf numFmtId="3" fontId="87" fillId="0" borderId="0" xfId="0" applyNumberFormat="1" applyFont="1" applyAlignment="1">
      <alignment horizontal="right"/>
    </xf>
    <xf numFmtId="0" fontId="33" fillId="0" borderId="25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3" fontId="33" fillId="0" borderId="26" xfId="0" applyNumberFormat="1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3" fontId="33" fillId="0" borderId="14" xfId="0" applyNumberFormat="1" applyFont="1" applyBorder="1" applyAlignment="1">
      <alignment vertical="center" wrapText="1"/>
    </xf>
    <xf numFmtId="3" fontId="33" fillId="0" borderId="29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3" fontId="33" fillId="0" borderId="30" xfId="0" applyNumberFormat="1" applyFont="1" applyBorder="1" applyAlignment="1">
      <alignment vertical="center" wrapText="1"/>
    </xf>
    <xf numFmtId="3" fontId="33" fillId="0" borderId="3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78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86" fillId="0" borderId="11" xfId="0" applyNumberFormat="1" applyFont="1" applyBorder="1" applyAlignment="1">
      <alignment horizontal="right"/>
    </xf>
    <xf numFmtId="3" fontId="86" fillId="0" borderId="21" xfId="0" applyNumberFormat="1" applyFont="1" applyBorder="1" applyAlignment="1">
      <alignment horizontal="right"/>
    </xf>
    <xf numFmtId="0" fontId="38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3" fontId="38" fillId="0" borderId="12" xfId="0" applyNumberFormat="1" applyFont="1" applyBorder="1" applyAlignment="1">
      <alignment vertical="center" wrapText="1"/>
    </xf>
    <xf numFmtId="3" fontId="38" fillId="0" borderId="79" xfId="0" applyNumberFormat="1" applyFont="1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3" fontId="38" fillId="0" borderId="35" xfId="0" applyNumberFormat="1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3" fontId="90" fillId="0" borderId="14" xfId="0" applyNumberFormat="1" applyFont="1" applyBorder="1" applyAlignment="1">
      <alignment/>
    </xf>
    <xf numFmtId="3" fontId="90" fillId="0" borderId="29" xfId="0" applyNumberFormat="1" applyFont="1" applyBorder="1" applyAlignment="1">
      <alignment/>
    </xf>
    <xf numFmtId="3" fontId="6" fillId="0" borderId="35" xfId="0" applyNumberFormat="1" applyFont="1" applyBorder="1" applyAlignment="1">
      <alignment vertical="center" wrapText="1"/>
    </xf>
    <xf numFmtId="3" fontId="6" fillId="0" borderId="79" xfId="0" applyNumberFormat="1" applyFont="1" applyBorder="1" applyAlignment="1">
      <alignment vertical="center" wrapText="1"/>
    </xf>
    <xf numFmtId="3" fontId="6" fillId="0" borderId="85" xfId="0" applyNumberFormat="1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86" fillId="0" borderId="14" xfId="0" applyNumberFormat="1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3" fontId="86" fillId="0" borderId="31" xfId="0" applyNumberFormat="1" applyFont="1" applyBorder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7" fillId="0" borderId="14" xfId="0" applyNumberFormat="1" applyFont="1" applyBorder="1" applyAlignment="1">
      <alignment vertical="top" wrapText="1"/>
    </xf>
    <xf numFmtId="3" fontId="7" fillId="0" borderId="35" xfId="0" applyNumberFormat="1" applyFont="1" applyBorder="1" applyAlignment="1">
      <alignment vertical="top" wrapText="1"/>
    </xf>
    <xf numFmtId="3" fontId="83" fillId="0" borderId="14" xfId="0" applyNumberFormat="1" applyFont="1" applyBorder="1" applyAlignment="1">
      <alignment vertical="top"/>
    </xf>
    <xf numFmtId="3" fontId="83" fillId="0" borderId="29" xfId="0" applyNumberFormat="1" applyFont="1" applyBorder="1" applyAlignment="1">
      <alignment vertical="top"/>
    </xf>
    <xf numFmtId="0" fontId="6" fillId="0" borderId="2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 wrapText="1"/>
    </xf>
    <xf numFmtId="0" fontId="83" fillId="0" borderId="0" xfId="0" applyFont="1" applyAlignment="1">
      <alignment horizontal="left"/>
    </xf>
    <xf numFmtId="0" fontId="33" fillId="0" borderId="33" xfId="0" applyFont="1" applyBorder="1" applyAlignment="1">
      <alignment horizontal="center" vertical="center" wrapText="1"/>
    </xf>
    <xf numFmtId="3" fontId="87" fillId="0" borderId="79" xfId="0" applyNumberFormat="1" applyFont="1" applyBorder="1" applyAlignment="1">
      <alignment/>
    </xf>
    <xf numFmtId="3" fontId="87" fillId="0" borderId="35" xfId="0" applyNumberFormat="1" applyFont="1" applyBorder="1" applyAlignment="1">
      <alignment/>
    </xf>
    <xf numFmtId="3" fontId="87" fillId="0" borderId="85" xfId="0" applyNumberFormat="1" applyFont="1" applyBorder="1" applyAlignment="1">
      <alignment/>
    </xf>
    <xf numFmtId="3" fontId="88" fillId="0" borderId="24" xfId="0" applyNumberFormat="1" applyFont="1" applyBorder="1" applyAlignment="1">
      <alignment/>
    </xf>
    <xf numFmtId="3" fontId="89" fillId="0" borderId="35" xfId="0" applyNumberFormat="1" applyFont="1" applyBorder="1" applyAlignment="1">
      <alignment/>
    </xf>
    <xf numFmtId="3" fontId="6" fillId="0" borderId="24" xfId="0" applyNumberFormat="1" applyFont="1" applyBorder="1" applyAlignment="1">
      <alignment vertical="center"/>
    </xf>
    <xf numFmtId="3" fontId="83" fillId="0" borderId="79" xfId="0" applyNumberFormat="1" applyFont="1" applyBorder="1" applyAlignment="1">
      <alignment vertical="center"/>
    </xf>
    <xf numFmtId="3" fontId="83" fillId="0" borderId="85" xfId="0" applyNumberFormat="1" applyFont="1" applyBorder="1" applyAlignment="1">
      <alignment vertical="center"/>
    </xf>
    <xf numFmtId="3" fontId="86" fillId="0" borderId="24" xfId="0" applyNumberFormat="1" applyFont="1" applyBorder="1" applyAlignment="1">
      <alignment/>
    </xf>
    <xf numFmtId="3" fontId="83" fillId="0" borderId="34" xfId="0" applyNumberFormat="1" applyFont="1" applyBorder="1" applyAlignment="1">
      <alignment/>
    </xf>
    <xf numFmtId="3" fontId="83" fillId="0" borderId="35" xfId="0" applyNumberFormat="1" applyFont="1" applyBorder="1" applyAlignment="1">
      <alignment/>
    </xf>
    <xf numFmtId="3" fontId="83" fillId="0" borderId="85" xfId="0" applyNumberFormat="1" applyFont="1" applyBorder="1" applyAlignment="1">
      <alignment/>
    </xf>
    <xf numFmtId="3" fontId="83" fillId="0" borderId="79" xfId="0" applyNumberFormat="1" applyFont="1" applyBorder="1" applyAlignment="1">
      <alignment/>
    </xf>
    <xf numFmtId="3" fontId="86" fillId="0" borderId="34" xfId="0" applyNumberFormat="1" applyFont="1" applyBorder="1" applyAlignment="1">
      <alignment/>
    </xf>
    <xf numFmtId="3" fontId="86" fillId="0" borderId="63" xfId="0" applyNumberFormat="1" applyFont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3" fontId="83" fillId="0" borderId="63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 horizontal="center" vertical="center" wrapText="1"/>
    </xf>
    <xf numFmtId="3" fontId="90" fillId="0" borderId="35" xfId="0" applyNumberFormat="1" applyFont="1" applyBorder="1" applyAlignment="1">
      <alignment/>
    </xf>
    <xf numFmtId="3" fontId="83" fillId="0" borderId="35" xfId="0" applyNumberFormat="1" applyFont="1" applyBorder="1" applyAlignment="1">
      <alignment vertical="top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83" fillId="33" borderId="85" xfId="0" applyNumberFormat="1" applyFont="1" applyFill="1" applyBorder="1" applyAlignment="1">
      <alignment/>
    </xf>
    <xf numFmtId="3" fontId="83" fillId="0" borderId="29" xfId="0" applyNumberFormat="1" applyFont="1" applyFill="1" applyBorder="1" applyAlignment="1">
      <alignment/>
    </xf>
    <xf numFmtId="3" fontId="83" fillId="0" borderId="22" xfId="0" applyNumberFormat="1" applyFont="1" applyBorder="1" applyAlignment="1">
      <alignment vertical="center"/>
    </xf>
    <xf numFmtId="3" fontId="83" fillId="0" borderId="80" xfId="0" applyNumberFormat="1" applyFont="1" applyBorder="1" applyAlignment="1">
      <alignment vertical="center"/>
    </xf>
    <xf numFmtId="0" fontId="83" fillId="0" borderId="0" xfId="0" applyFont="1" applyAlignment="1">
      <alignment horizontal="left"/>
    </xf>
    <xf numFmtId="10" fontId="87" fillId="0" borderId="0" xfId="0" applyNumberFormat="1" applyFont="1" applyAlignment="1">
      <alignment/>
    </xf>
    <xf numFmtId="3" fontId="91" fillId="0" borderId="24" xfId="0" applyNumberFormat="1" applyFont="1" applyBorder="1" applyAlignment="1">
      <alignment horizontal="right"/>
    </xf>
    <xf numFmtId="3" fontId="92" fillId="0" borderId="79" xfId="0" applyNumberFormat="1" applyFont="1" applyBorder="1" applyAlignment="1">
      <alignment/>
    </xf>
    <xf numFmtId="3" fontId="92" fillId="0" borderId="35" xfId="0" applyNumberFormat="1" applyFont="1" applyBorder="1" applyAlignment="1">
      <alignment/>
    </xf>
    <xf numFmtId="3" fontId="92" fillId="0" borderId="85" xfId="0" applyNumberFormat="1" applyFont="1" applyBorder="1" applyAlignment="1">
      <alignment/>
    </xf>
    <xf numFmtId="3" fontId="91" fillId="0" borderId="24" xfId="0" applyNumberFormat="1" applyFont="1" applyBorder="1" applyAlignment="1">
      <alignment/>
    </xf>
    <xf numFmtId="3" fontId="93" fillId="0" borderId="35" xfId="0" applyNumberFormat="1" applyFont="1" applyBorder="1" applyAlignment="1">
      <alignment/>
    </xf>
    <xf numFmtId="10" fontId="87" fillId="0" borderId="29" xfId="0" applyNumberFormat="1" applyFont="1" applyBorder="1" applyAlignment="1">
      <alignment/>
    </xf>
    <xf numFmtId="10" fontId="87" fillId="0" borderId="81" xfId="0" applyNumberFormat="1" applyFont="1" applyBorder="1" applyAlignment="1">
      <alignment/>
    </xf>
    <xf numFmtId="10" fontId="87" fillId="0" borderId="26" xfId="0" applyNumberFormat="1" applyFont="1" applyBorder="1" applyAlignment="1">
      <alignment/>
    </xf>
    <xf numFmtId="10" fontId="88" fillId="0" borderId="21" xfId="0" applyNumberFormat="1" applyFont="1" applyBorder="1" applyAlignment="1">
      <alignment/>
    </xf>
    <xf numFmtId="3" fontId="89" fillId="0" borderId="12" xfId="0" applyNumberFormat="1" applyFont="1" applyBorder="1" applyAlignment="1">
      <alignment/>
    </xf>
    <xf numFmtId="3" fontId="93" fillId="0" borderId="79" xfId="0" applyNumberFormat="1" applyFont="1" applyBorder="1" applyAlignment="1">
      <alignment/>
    </xf>
    <xf numFmtId="10" fontId="89" fillId="0" borderId="26" xfId="0" applyNumberFormat="1" applyFont="1" applyBorder="1" applyAlignment="1">
      <alignment/>
    </xf>
    <xf numFmtId="0" fontId="35" fillId="0" borderId="25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10" fontId="89" fillId="0" borderId="29" xfId="0" applyNumberFormat="1" applyFont="1" applyBorder="1" applyAlignment="1">
      <alignment/>
    </xf>
    <xf numFmtId="0" fontId="35" fillId="0" borderId="27" xfId="0" applyFont="1" applyBorder="1" applyAlignment="1">
      <alignment vertical="center" wrapText="1"/>
    </xf>
    <xf numFmtId="3" fontId="35" fillId="0" borderId="13" xfId="0" applyNumberFormat="1" applyFont="1" applyBorder="1" applyAlignment="1">
      <alignment vertical="center" wrapText="1"/>
    </xf>
    <xf numFmtId="3" fontId="35" fillId="0" borderId="85" xfId="0" applyNumberFormat="1" applyFont="1" applyBorder="1" applyAlignment="1">
      <alignment vertical="center" wrapText="1"/>
    </xf>
    <xf numFmtId="3" fontId="89" fillId="0" borderId="13" xfId="0" applyNumberFormat="1" applyFont="1" applyBorder="1" applyAlignment="1">
      <alignment/>
    </xf>
    <xf numFmtId="3" fontId="89" fillId="0" borderId="85" xfId="0" applyNumberFormat="1" applyFont="1" applyBorder="1" applyAlignment="1">
      <alignment/>
    </xf>
    <xf numFmtId="3" fontId="93" fillId="0" borderId="85" xfId="0" applyNumberFormat="1" applyFont="1" applyBorder="1" applyAlignment="1">
      <alignment/>
    </xf>
    <xf numFmtId="10" fontId="89" fillId="0" borderId="81" xfId="0" applyNumberFormat="1" applyFont="1" applyBorder="1" applyAlignment="1">
      <alignment/>
    </xf>
    <xf numFmtId="3" fontId="7" fillId="0" borderId="79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0" fontId="2" fillId="0" borderId="89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10" fontId="6" fillId="0" borderId="26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0" fontId="6" fillId="0" borderId="8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86" fillId="0" borderId="32" xfId="0" applyNumberFormat="1" applyFont="1" applyBorder="1" applyAlignment="1">
      <alignment/>
    </xf>
    <xf numFmtId="10" fontId="6" fillId="0" borderId="91" xfId="0" applyNumberFormat="1" applyFont="1" applyBorder="1" applyAlignment="1">
      <alignment vertical="center"/>
    </xf>
    <xf numFmtId="10" fontId="6" fillId="0" borderId="92" xfId="0" applyNumberFormat="1" applyFont="1" applyBorder="1" applyAlignment="1">
      <alignment vertical="center"/>
    </xf>
    <xf numFmtId="10" fontId="6" fillId="0" borderId="93" xfId="0" applyNumberFormat="1" applyFont="1" applyBorder="1" applyAlignment="1">
      <alignment vertical="center"/>
    </xf>
    <xf numFmtId="10" fontId="6" fillId="0" borderId="94" xfId="0" applyNumberFormat="1" applyFont="1" applyBorder="1" applyAlignment="1">
      <alignment vertical="center"/>
    </xf>
    <xf numFmtId="10" fontId="6" fillId="0" borderId="95" xfId="0" applyNumberFormat="1" applyFont="1" applyBorder="1" applyAlignment="1">
      <alignment vertical="center"/>
    </xf>
    <xf numFmtId="0" fontId="6" fillId="0" borderId="96" xfId="0" applyFont="1" applyBorder="1" applyAlignment="1">
      <alignment vertical="center" wrapText="1"/>
    </xf>
    <xf numFmtId="0" fontId="6" fillId="0" borderId="97" xfId="0" applyFont="1" applyBorder="1" applyAlignment="1">
      <alignment vertical="center" wrapText="1"/>
    </xf>
    <xf numFmtId="3" fontId="6" fillId="0" borderId="97" xfId="0" applyNumberFormat="1" applyFont="1" applyBorder="1" applyAlignment="1">
      <alignment vertical="center" wrapText="1"/>
    </xf>
    <xf numFmtId="0" fontId="83" fillId="0" borderId="97" xfId="0" applyFont="1" applyBorder="1" applyAlignment="1">
      <alignment/>
    </xf>
    <xf numFmtId="0" fontId="7" fillId="0" borderId="98" xfId="0" applyFont="1" applyBorder="1" applyAlignment="1">
      <alignment wrapText="1"/>
    </xf>
    <xf numFmtId="3" fontId="6" fillId="0" borderId="97" xfId="0" applyNumberFormat="1" applyFont="1" applyBorder="1" applyAlignment="1">
      <alignment vertical="center"/>
    </xf>
    <xf numFmtId="10" fontId="6" fillId="0" borderId="97" xfId="0" applyNumberFormat="1" applyFont="1" applyBorder="1" applyAlignment="1">
      <alignment vertical="center"/>
    </xf>
    <xf numFmtId="0" fontId="6" fillId="0" borderId="8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86" fillId="0" borderId="11" xfId="0" applyNumberFormat="1" applyFont="1" applyFill="1" applyBorder="1" applyAlignment="1">
      <alignment/>
    </xf>
    <xf numFmtId="10" fontId="6" fillId="0" borderId="84" xfId="0" applyNumberFormat="1" applyFont="1" applyBorder="1" applyAlignment="1">
      <alignment vertical="center"/>
    </xf>
    <xf numFmtId="0" fontId="0" fillId="0" borderId="30" xfId="0" applyBorder="1" applyAlignment="1">
      <alignment/>
    </xf>
    <xf numFmtId="3" fontId="6" fillId="0" borderId="22" xfId="0" applyNumberFormat="1" applyFont="1" applyBorder="1" applyAlignment="1">
      <alignment vertical="center" wrapText="1"/>
    </xf>
    <xf numFmtId="0" fontId="7" fillId="0" borderId="98" xfId="0" applyFont="1" applyBorder="1" applyAlignment="1">
      <alignment vertical="top" wrapText="1"/>
    </xf>
    <xf numFmtId="0" fontId="83" fillId="0" borderId="0" xfId="0" applyFont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83" fillId="0" borderId="25" xfId="0" applyFont="1" applyBorder="1" applyAlignment="1">
      <alignment horizontal="center"/>
    </xf>
    <xf numFmtId="0" fontId="83" fillId="0" borderId="12" xfId="0" applyFont="1" applyBorder="1" applyAlignment="1">
      <alignment/>
    </xf>
    <xf numFmtId="3" fontId="83" fillId="0" borderId="12" xfId="0" applyNumberFormat="1" applyFont="1" applyBorder="1" applyAlignment="1">
      <alignment horizontal="right"/>
    </xf>
    <xf numFmtId="0" fontId="83" fillId="0" borderId="27" xfId="0" applyFont="1" applyBorder="1" applyAlignment="1">
      <alignment horizontal="center"/>
    </xf>
    <xf numFmtId="0" fontId="83" fillId="0" borderId="13" xfId="0" applyFont="1" applyBorder="1" applyAlignment="1">
      <alignment/>
    </xf>
    <xf numFmtId="3" fontId="83" fillId="0" borderId="13" xfId="0" applyNumberFormat="1" applyFont="1" applyBorder="1" applyAlignment="1">
      <alignment horizontal="right"/>
    </xf>
    <xf numFmtId="0" fontId="86" fillId="0" borderId="10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86" fillId="0" borderId="17" xfId="0" applyFont="1" applyBorder="1" applyAlignment="1">
      <alignment horizontal="center"/>
    </xf>
    <xf numFmtId="0" fontId="86" fillId="0" borderId="18" xfId="0" applyFont="1" applyBorder="1" applyAlignment="1">
      <alignment/>
    </xf>
    <xf numFmtId="3" fontId="86" fillId="0" borderId="99" xfId="0" applyNumberFormat="1" applyFont="1" applyBorder="1" applyAlignment="1">
      <alignment horizontal="right"/>
    </xf>
    <xf numFmtId="3" fontId="86" fillId="0" borderId="64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horizontal="right" vertical="center"/>
    </xf>
    <xf numFmtId="0" fontId="86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3" fillId="0" borderId="0" xfId="0" applyFont="1" applyBorder="1" applyAlignment="1">
      <alignment horizontal="right" vertical="center"/>
    </xf>
    <xf numFmtId="0" fontId="83" fillId="0" borderId="30" xfId="0" applyFont="1" applyBorder="1" applyAlignment="1">
      <alignment/>
    </xf>
    <xf numFmtId="3" fontId="7" fillId="0" borderId="14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0" fontId="7" fillId="0" borderId="84" xfId="0" applyNumberFormat="1" applyFont="1" applyBorder="1" applyAlignment="1">
      <alignment vertical="center"/>
    </xf>
    <xf numFmtId="10" fontId="7" fillId="0" borderId="93" xfId="0" applyNumberFormat="1" applyFont="1" applyBorder="1" applyAlignment="1">
      <alignment vertical="center"/>
    </xf>
    <xf numFmtId="10" fontId="7" fillId="0" borderId="92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0" fontId="83" fillId="0" borderId="11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10" fontId="7" fillId="0" borderId="9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0" fontId="7" fillId="0" borderId="81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 wrapText="1"/>
    </xf>
    <xf numFmtId="10" fontId="7" fillId="0" borderId="31" xfId="0" applyNumberFormat="1" applyFont="1" applyBorder="1" applyAlignment="1">
      <alignment vertical="center"/>
    </xf>
    <xf numFmtId="0" fontId="83" fillId="0" borderId="14" xfId="0" applyFont="1" applyBorder="1" applyAlignment="1">
      <alignment/>
    </xf>
    <xf numFmtId="0" fontId="6" fillId="0" borderId="79" xfId="0" applyFont="1" applyBorder="1" applyAlignment="1">
      <alignment vertical="center" wrapText="1"/>
    </xf>
    <xf numFmtId="3" fontId="86" fillId="0" borderId="12" xfId="0" applyNumberFormat="1" applyFont="1" applyBorder="1" applyAlignment="1">
      <alignment/>
    </xf>
    <xf numFmtId="0" fontId="7" fillId="0" borderId="19" xfId="0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vertical="center" wrapText="1"/>
    </xf>
    <xf numFmtId="10" fontId="7" fillId="0" borderId="61" xfId="0" applyNumberFormat="1" applyFont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10" fontId="7" fillId="0" borderId="29" xfId="0" applyNumberFormat="1" applyFont="1" applyBorder="1" applyAlignment="1">
      <alignment vertical="center"/>
    </xf>
    <xf numFmtId="0" fontId="86" fillId="0" borderId="31" xfId="0" applyFont="1" applyBorder="1" applyAlignment="1">
      <alignment horizontal="center" vertical="center"/>
    </xf>
    <xf numFmtId="0" fontId="83" fillId="0" borderId="26" xfId="0" applyFont="1" applyBorder="1" applyAlignment="1">
      <alignment horizontal="right"/>
    </xf>
    <xf numFmtId="3" fontId="83" fillId="0" borderId="81" xfId="0" applyNumberFormat="1" applyFont="1" applyBorder="1" applyAlignment="1">
      <alignment horizontal="right"/>
    </xf>
    <xf numFmtId="3" fontId="83" fillId="0" borderId="26" xfId="0" applyNumberFormat="1" applyFont="1" applyBorder="1" applyAlignment="1">
      <alignment horizontal="right"/>
    </xf>
    <xf numFmtId="0" fontId="83" fillId="0" borderId="81" xfId="0" applyFont="1" applyBorder="1" applyAlignment="1">
      <alignment horizontal="right"/>
    </xf>
    <xf numFmtId="3" fontId="86" fillId="0" borderId="82" xfId="0" applyNumberFormat="1" applyFont="1" applyBorder="1" applyAlignment="1">
      <alignment horizontal="right"/>
    </xf>
    <xf numFmtId="0" fontId="86" fillId="0" borderId="21" xfId="0" applyFont="1" applyBorder="1" applyAlignment="1">
      <alignment horizontal="right"/>
    </xf>
    <xf numFmtId="3" fontId="86" fillId="0" borderId="89" xfId="0" applyNumberFormat="1" applyFont="1" applyBorder="1" applyAlignment="1">
      <alignment horizontal="right"/>
    </xf>
    <xf numFmtId="0" fontId="62" fillId="0" borderId="87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center" wrapText="1"/>
    </xf>
    <xf numFmtId="0" fontId="79" fillId="0" borderId="100" xfId="0" applyFont="1" applyBorder="1" applyAlignment="1">
      <alignment horizontal="center" wrapText="1"/>
    </xf>
    <xf numFmtId="0" fontId="85" fillId="0" borderId="101" xfId="0" applyFont="1" applyBorder="1" applyAlignment="1">
      <alignment horizontal="left" vertical="center" wrapText="1"/>
    </xf>
    <xf numFmtId="3" fontId="60" fillId="0" borderId="42" xfId="0" applyNumberFormat="1" applyFont="1" applyBorder="1" applyAlignment="1">
      <alignment vertical="center"/>
    </xf>
    <xf numFmtId="3" fontId="60" fillId="0" borderId="102" xfId="0" applyNumberFormat="1" applyFont="1" applyBorder="1" applyAlignment="1">
      <alignment vertical="center"/>
    </xf>
    <xf numFmtId="3" fontId="0" fillId="0" borderId="42" xfId="0" applyNumberFormat="1" applyBorder="1" applyAlignment="1">
      <alignment vertical="center"/>
    </xf>
    <xf numFmtId="10" fontId="0" fillId="0" borderId="43" xfId="0" applyNumberForma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103" xfId="0" applyNumberFormat="1" applyFont="1" applyBorder="1" applyAlignment="1">
      <alignment vertical="center"/>
    </xf>
    <xf numFmtId="3" fontId="60" fillId="0" borderId="103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3" fontId="0" fillId="0" borderId="104" xfId="0" applyNumberFormat="1" applyFont="1" applyBorder="1" applyAlignment="1">
      <alignment vertical="center"/>
    </xf>
    <xf numFmtId="3" fontId="60" fillId="0" borderId="104" xfId="0" applyNumberFormat="1" applyFon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60" fillId="0" borderId="45" xfId="0" applyNumberFormat="1" applyFont="1" applyBorder="1" applyAlignment="1">
      <alignment vertical="center"/>
    </xf>
    <xf numFmtId="3" fontId="60" fillId="0" borderId="50" xfId="0" applyNumberFormat="1" applyFont="1" applyBorder="1" applyAlignment="1">
      <alignment vertical="center"/>
    </xf>
    <xf numFmtId="3" fontId="0" fillId="0" borderId="101" xfId="0" applyNumberFormat="1" applyFont="1" applyBorder="1" applyAlignment="1">
      <alignment vertical="center"/>
    </xf>
    <xf numFmtId="3" fontId="60" fillId="0" borderId="101" xfId="0" applyNumberFormat="1" applyFont="1" applyBorder="1" applyAlignment="1">
      <alignment vertical="center"/>
    </xf>
    <xf numFmtId="3" fontId="0" fillId="0" borderId="101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3" fontId="79" fillId="0" borderId="38" xfId="0" applyNumberFormat="1" applyFont="1" applyBorder="1" applyAlignment="1">
      <alignment vertical="center"/>
    </xf>
    <xf numFmtId="3" fontId="79" fillId="0" borderId="105" xfId="0" applyNumberFormat="1" applyFont="1" applyBorder="1" applyAlignment="1">
      <alignment vertical="center"/>
    </xf>
    <xf numFmtId="3" fontId="79" fillId="0" borderId="106" xfId="0" applyNumberFormat="1" applyFont="1" applyBorder="1" applyAlignment="1">
      <alignment vertical="center"/>
    </xf>
    <xf numFmtId="10" fontId="79" fillId="0" borderId="39" xfId="0" applyNumberFormat="1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/>
    </xf>
    <xf numFmtId="0" fontId="87" fillId="0" borderId="14" xfId="0" applyFont="1" applyBorder="1" applyAlignment="1">
      <alignment vertical="center"/>
    </xf>
    <xf numFmtId="3" fontId="87" fillId="0" borderId="14" xfId="0" applyNumberFormat="1" applyFont="1" applyBorder="1" applyAlignment="1">
      <alignment vertical="center"/>
    </xf>
    <xf numFmtId="0" fontId="87" fillId="0" borderId="14" xfId="0" applyFont="1" applyBorder="1" applyAlignment="1">
      <alignment/>
    </xf>
    <xf numFmtId="0" fontId="87" fillId="0" borderId="13" xfId="0" applyFont="1" applyBorder="1" applyAlignment="1">
      <alignment vertical="center"/>
    </xf>
    <xf numFmtId="3" fontId="87" fillId="0" borderId="13" xfId="0" applyNumberFormat="1" applyFont="1" applyBorder="1" applyAlignment="1">
      <alignment vertical="center"/>
    </xf>
    <xf numFmtId="0" fontId="87" fillId="0" borderId="13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3" fontId="63" fillId="0" borderId="11" xfId="0" applyNumberFormat="1" applyFont="1" applyBorder="1" applyAlignment="1">
      <alignment horizontal="right" vertical="center"/>
    </xf>
    <xf numFmtId="0" fontId="87" fillId="0" borderId="11" xfId="0" applyFont="1" applyBorder="1" applyAlignment="1">
      <alignment/>
    </xf>
    <xf numFmtId="0" fontId="87" fillId="0" borderId="25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0" fontId="87" fillId="0" borderId="12" xfId="0" applyFont="1" applyBorder="1" applyAlignment="1">
      <alignment/>
    </xf>
    <xf numFmtId="0" fontId="87" fillId="0" borderId="27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3" fontId="63" fillId="0" borderId="11" xfId="0" applyNumberFormat="1" applyFont="1" applyBorder="1" applyAlignment="1">
      <alignment vertical="center"/>
    </xf>
    <xf numFmtId="0" fontId="88" fillId="0" borderId="11" xfId="0" applyFont="1" applyBorder="1" applyAlignment="1">
      <alignment/>
    </xf>
    <xf numFmtId="0" fontId="87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vertical="center"/>
    </xf>
    <xf numFmtId="3" fontId="63" fillId="0" borderId="18" xfId="0" applyNumberFormat="1" applyFont="1" applyBorder="1" applyAlignment="1">
      <alignment horizontal="right" vertical="center"/>
    </xf>
    <xf numFmtId="0" fontId="88" fillId="0" borderId="18" xfId="0" applyFont="1" applyBorder="1" applyAlignment="1">
      <alignment/>
    </xf>
    <xf numFmtId="3" fontId="88" fillId="0" borderId="32" xfId="0" applyNumberFormat="1" applyFont="1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3" fontId="41" fillId="0" borderId="35" xfId="0" applyNumberFormat="1" applyFont="1" applyBorder="1" applyAlignment="1">
      <alignment horizontal="right" vertical="center"/>
    </xf>
    <xf numFmtId="4" fontId="41" fillId="0" borderId="29" xfId="0" applyNumberFormat="1" applyFont="1" applyBorder="1" applyAlignment="1">
      <alignment horizontal="right" vertical="center"/>
    </xf>
    <xf numFmtId="49" fontId="41" fillId="0" borderId="27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3" fontId="41" fillId="0" borderId="85" xfId="0" applyNumberFormat="1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3" fontId="41" fillId="0" borderId="24" xfId="0" applyNumberFormat="1" applyFont="1" applyFill="1" applyBorder="1" applyAlignment="1">
      <alignment horizontal="right" vertical="center"/>
    </xf>
    <xf numFmtId="10" fontId="41" fillId="0" borderId="21" xfId="60" applyNumberFormat="1" applyFont="1" applyFill="1" applyBorder="1" applyAlignment="1">
      <alignment horizontal="right" vertical="center"/>
    </xf>
    <xf numFmtId="49" fontId="41" fillId="0" borderId="25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3" fontId="41" fillId="0" borderId="79" xfId="0" applyNumberFormat="1" applyFont="1" applyFill="1" applyBorder="1" applyAlignment="1">
      <alignment horizontal="right" vertical="center"/>
    </xf>
    <xf numFmtId="10" fontId="41" fillId="0" borderId="78" xfId="60" applyNumberFormat="1" applyFont="1" applyFill="1" applyBorder="1" applyAlignment="1">
      <alignment horizontal="right" vertical="center"/>
    </xf>
    <xf numFmtId="3" fontId="41" fillId="0" borderId="35" xfId="0" applyNumberFormat="1" applyFont="1" applyFill="1" applyBorder="1" applyAlignment="1">
      <alignment horizontal="right" vertical="center"/>
    </xf>
    <xf numFmtId="10" fontId="41" fillId="0" borderId="29" xfId="60" applyNumberFormat="1" applyFont="1" applyFill="1" applyBorder="1" applyAlignment="1">
      <alignment horizontal="right" vertical="center"/>
    </xf>
    <xf numFmtId="10" fontId="41" fillId="0" borderId="107" xfId="60" applyNumberFormat="1" applyFont="1" applyFill="1" applyBorder="1" applyAlignment="1">
      <alignment horizontal="right" vertical="center"/>
    </xf>
    <xf numFmtId="10" fontId="41" fillId="0" borderId="81" xfId="60" applyNumberFormat="1" applyFont="1" applyFill="1" applyBorder="1" applyAlignment="1">
      <alignment horizontal="right" vertical="center"/>
    </xf>
    <xf numFmtId="3" fontId="41" fillId="0" borderId="85" xfId="0" applyNumberFormat="1" applyFont="1" applyFill="1" applyBorder="1" applyAlignment="1">
      <alignment horizontal="right" vertical="center"/>
    </xf>
    <xf numFmtId="10" fontId="41" fillId="0" borderId="31" xfId="60" applyNumberFormat="1" applyFont="1" applyFill="1" applyBorder="1" applyAlignment="1">
      <alignment horizontal="right" vertical="center"/>
    </xf>
    <xf numFmtId="10" fontId="41" fillId="0" borderId="61" xfId="60" applyNumberFormat="1" applyFont="1" applyFill="1" applyBorder="1" applyAlignment="1">
      <alignment horizontal="right" vertical="center"/>
    </xf>
    <xf numFmtId="0" fontId="41" fillId="0" borderId="14" xfId="0" applyFont="1" applyBorder="1" applyAlignment="1" quotePrefix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34" borderId="11" xfId="0" applyFont="1" applyFill="1" applyBorder="1" applyAlignment="1">
      <alignment horizontal="left" vertical="center" wrapText="1"/>
    </xf>
    <xf numFmtId="0" fontId="41" fillId="0" borderId="13" xfId="0" applyFont="1" applyBorder="1" applyAlignment="1" quotePrefix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3" fontId="41" fillId="0" borderId="34" xfId="0" applyNumberFormat="1" applyFont="1" applyFill="1" applyBorder="1" applyAlignment="1">
      <alignment horizontal="right" vertical="center"/>
    </xf>
    <xf numFmtId="0" fontId="43" fillId="0" borderId="36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 wrapText="1"/>
    </xf>
    <xf numFmtId="3" fontId="41" fillId="0" borderId="63" xfId="0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14" xfId="0" applyFont="1" applyFill="1" applyBorder="1" applyAlignment="1" quotePrefix="1">
      <alignment horizontal="left" vertical="center" wrapText="1"/>
    </xf>
    <xf numFmtId="0" fontId="41" fillId="0" borderId="35" xfId="0" applyFont="1" applyFill="1" applyBorder="1" applyAlignment="1" quotePrefix="1">
      <alignment horizontal="left" vertical="center" wrapText="1"/>
    </xf>
    <xf numFmtId="0" fontId="41" fillId="0" borderId="36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 wrapText="1"/>
    </xf>
    <xf numFmtId="3" fontId="41" fillId="0" borderId="33" xfId="0" applyNumberFormat="1" applyFont="1" applyFill="1" applyBorder="1" applyAlignment="1">
      <alignment horizontal="right" vertical="center"/>
    </xf>
    <xf numFmtId="10" fontId="41" fillId="0" borderId="108" xfId="6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3" fontId="41" fillId="0" borderId="0" xfId="0" applyNumberFormat="1" applyFont="1" applyFill="1" applyBorder="1" applyAlignment="1">
      <alignment horizontal="right" vertical="center"/>
    </xf>
    <xf numFmtId="10" fontId="41" fillId="0" borderId="0" xfId="60" applyNumberFormat="1" applyFont="1" applyFill="1" applyBorder="1" applyAlignment="1">
      <alignment horizontal="right" vertical="center"/>
    </xf>
    <xf numFmtId="0" fontId="42" fillId="0" borderId="98" xfId="0" applyFont="1" applyFill="1" applyBorder="1" applyAlignment="1">
      <alignment horizontal="left" vertical="center" wrapText="1"/>
    </xf>
    <xf numFmtId="0" fontId="83" fillId="0" borderId="98" xfId="0" applyFont="1" applyBorder="1" applyAlignment="1">
      <alignment vertical="center"/>
    </xf>
    <xf numFmtId="3" fontId="41" fillId="0" borderId="98" xfId="0" applyNumberFormat="1" applyFont=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center" vertical="center"/>
    </xf>
    <xf numFmtId="0" fontId="41" fillId="0" borderId="85" xfId="0" applyFont="1" applyFill="1" applyBorder="1" applyAlignment="1" quotePrefix="1">
      <alignment horizontal="left" vertical="center" wrapText="1"/>
    </xf>
    <xf numFmtId="3" fontId="41" fillId="0" borderId="8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3" fontId="40" fillId="0" borderId="24" xfId="0" applyNumberFormat="1" applyFont="1" applyFill="1" applyBorder="1" applyAlignment="1">
      <alignment horizontal="right" vertical="center"/>
    </xf>
    <xf numFmtId="10" fontId="40" fillId="0" borderId="21" xfId="60" applyNumberFormat="1" applyFont="1" applyFill="1" applyBorder="1" applyAlignment="1">
      <alignment horizontal="right" vertical="center"/>
    </xf>
    <xf numFmtId="3" fontId="40" fillId="0" borderId="109" xfId="0" applyNumberFormat="1" applyFont="1" applyFill="1" applyBorder="1" applyAlignment="1">
      <alignment horizontal="right" vertical="center"/>
    </xf>
    <xf numFmtId="10" fontId="40" fillId="0" borderId="110" xfId="60" applyNumberFormat="1" applyFont="1" applyFill="1" applyBorder="1" applyAlignment="1">
      <alignment horizontal="right" vertical="center"/>
    </xf>
    <xf numFmtId="3" fontId="40" fillId="0" borderId="33" xfId="0" applyNumberFormat="1" applyFont="1" applyFill="1" applyBorder="1" applyAlignment="1">
      <alignment horizontal="right" vertical="center"/>
    </xf>
    <xf numFmtId="10" fontId="40" fillId="0" borderId="108" xfId="60" applyNumberFormat="1" applyFont="1" applyFill="1" applyBorder="1" applyAlignment="1">
      <alignment horizontal="right" vertical="center"/>
    </xf>
    <xf numFmtId="3" fontId="88" fillId="0" borderId="20" xfId="0" applyNumberFormat="1" applyFont="1" applyBorder="1" applyAlignment="1">
      <alignment/>
    </xf>
    <xf numFmtId="10" fontId="88" fillId="0" borderId="61" xfId="0" applyNumberFormat="1" applyFont="1" applyBorder="1" applyAlignment="1">
      <alignment/>
    </xf>
    <xf numFmtId="3" fontId="88" fillId="0" borderId="30" xfId="0" applyNumberFormat="1" applyFont="1" applyBorder="1" applyAlignment="1">
      <alignment/>
    </xf>
    <xf numFmtId="10" fontId="88" fillId="0" borderId="31" xfId="0" applyNumberFormat="1" applyFont="1" applyBorder="1" applyAlignment="1">
      <alignment/>
    </xf>
    <xf numFmtId="3" fontId="87" fillId="0" borderId="20" xfId="0" applyNumberFormat="1" applyFont="1" applyBorder="1" applyAlignment="1">
      <alignment/>
    </xf>
    <xf numFmtId="10" fontId="87" fillId="0" borderId="61" xfId="0" applyNumberFormat="1" applyFont="1" applyBorder="1" applyAlignment="1">
      <alignment/>
    </xf>
    <xf numFmtId="3" fontId="87" fillId="0" borderId="30" xfId="0" applyNumberFormat="1" applyFont="1" applyBorder="1" applyAlignment="1">
      <alignment/>
    </xf>
    <xf numFmtId="10" fontId="87" fillId="0" borderId="31" xfId="0" applyNumberFormat="1" applyFont="1" applyBorder="1" applyAlignment="1">
      <alignment/>
    </xf>
    <xf numFmtId="0" fontId="7" fillId="0" borderId="14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5" fillId="0" borderId="23" xfId="0" applyFont="1" applyBorder="1" applyAlignment="1">
      <alignment/>
    </xf>
    <xf numFmtId="3" fontId="65" fillId="0" borderId="14" xfId="0" applyNumberFormat="1" applyFont="1" applyBorder="1" applyAlignment="1">
      <alignment/>
    </xf>
    <xf numFmtId="10" fontId="65" fillId="0" borderId="29" xfId="60" applyNumberFormat="1" applyFont="1" applyBorder="1" applyAlignment="1">
      <alignment/>
    </xf>
    <xf numFmtId="0" fontId="66" fillId="0" borderId="36" xfId="0" applyFont="1" applyBorder="1" applyAlignment="1">
      <alignment vertical="center"/>
    </xf>
    <xf numFmtId="3" fontId="66" fillId="0" borderId="30" xfId="0" applyNumberFormat="1" applyFont="1" applyBorder="1" applyAlignment="1">
      <alignment vertical="center"/>
    </xf>
    <xf numFmtId="10" fontId="66" fillId="0" borderId="31" xfId="6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86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3" fillId="0" borderId="0" xfId="0" applyFont="1" applyFill="1" applyAlignment="1">
      <alignment horizontal="right"/>
    </xf>
    <xf numFmtId="0" fontId="86" fillId="0" borderId="21" xfId="0" applyFont="1" applyFill="1" applyBorder="1" applyAlignment="1">
      <alignment horizontal="center" vertical="center"/>
    </xf>
    <xf numFmtId="0" fontId="86" fillId="0" borderId="64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111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vertical="center"/>
    </xf>
    <xf numFmtId="3" fontId="83" fillId="0" borderId="19" xfId="0" applyNumberFormat="1" applyFont="1" applyFill="1" applyBorder="1" applyAlignment="1">
      <alignment vertical="center"/>
    </xf>
    <xf numFmtId="3" fontId="83" fillId="0" borderId="20" xfId="0" applyNumberFormat="1" applyFont="1" applyFill="1" applyBorder="1" applyAlignment="1">
      <alignment vertical="center"/>
    </xf>
    <xf numFmtId="3" fontId="83" fillId="0" borderId="26" xfId="0" applyNumberFormat="1" applyFont="1" applyFill="1" applyBorder="1" applyAlignment="1">
      <alignment vertical="center"/>
    </xf>
    <xf numFmtId="0" fontId="83" fillId="0" borderId="112" xfId="0" applyFont="1" applyFill="1" applyBorder="1" applyAlignment="1">
      <alignment vertical="center"/>
    </xf>
    <xf numFmtId="0" fontId="83" fillId="0" borderId="29" xfId="0" applyFont="1" applyFill="1" applyBorder="1" applyAlignment="1">
      <alignment vertical="center"/>
    </xf>
    <xf numFmtId="3" fontId="83" fillId="0" borderId="23" xfId="0" applyNumberFormat="1" applyFont="1" applyFill="1" applyBorder="1" applyAlignment="1">
      <alignment vertical="center"/>
    </xf>
    <xf numFmtId="3" fontId="83" fillId="0" borderId="14" xfId="0" applyNumberFormat="1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vertical="center"/>
    </xf>
    <xf numFmtId="0" fontId="83" fillId="0" borderId="113" xfId="0" applyFont="1" applyFill="1" applyBorder="1" applyAlignment="1">
      <alignment vertical="center"/>
    </xf>
    <xf numFmtId="0" fontId="86" fillId="0" borderId="31" xfId="0" applyFont="1" applyFill="1" applyBorder="1" applyAlignment="1">
      <alignment vertical="center"/>
    </xf>
    <xf numFmtId="3" fontId="86" fillId="0" borderId="36" xfId="0" applyNumberFormat="1" applyFont="1" applyFill="1" applyBorder="1" applyAlignment="1">
      <alignment vertical="center"/>
    </xf>
    <xf numFmtId="3" fontId="86" fillId="0" borderId="30" xfId="0" applyNumberFormat="1" applyFont="1" applyFill="1" applyBorder="1" applyAlignment="1">
      <alignment vertical="center"/>
    </xf>
    <xf numFmtId="3" fontId="86" fillId="0" borderId="31" xfId="0" applyNumberFormat="1" applyFont="1" applyFill="1" applyBorder="1" applyAlignment="1">
      <alignment vertical="center"/>
    </xf>
    <xf numFmtId="0" fontId="83" fillId="0" borderId="26" xfId="0" applyFont="1" applyFill="1" applyBorder="1" applyAlignment="1">
      <alignment vertical="center"/>
    </xf>
    <xf numFmtId="3" fontId="83" fillId="0" borderId="25" xfId="0" applyNumberFormat="1" applyFont="1" applyFill="1" applyBorder="1" applyAlignment="1">
      <alignment vertical="center"/>
    </xf>
    <xf numFmtId="3" fontId="83" fillId="0" borderId="12" xfId="0" applyNumberFormat="1" applyFont="1" applyFill="1" applyBorder="1" applyAlignment="1">
      <alignment vertical="center"/>
    </xf>
    <xf numFmtId="0" fontId="86" fillId="0" borderId="114" xfId="0" applyFont="1" applyFill="1" applyBorder="1" applyAlignment="1">
      <alignment vertical="center"/>
    </xf>
    <xf numFmtId="0" fontId="83" fillId="0" borderId="115" xfId="0" applyFont="1" applyFill="1" applyBorder="1" applyAlignment="1">
      <alignment vertical="center"/>
    </xf>
    <xf numFmtId="0" fontId="86" fillId="0" borderId="21" xfId="0" applyFont="1" applyFill="1" applyBorder="1" applyAlignment="1">
      <alignment vertical="center"/>
    </xf>
    <xf numFmtId="3" fontId="86" fillId="0" borderId="10" xfId="0" applyNumberFormat="1" applyFont="1" applyFill="1" applyBorder="1" applyAlignment="1">
      <alignment vertical="center"/>
    </xf>
    <xf numFmtId="3" fontId="86" fillId="0" borderId="11" xfId="0" applyNumberFormat="1" applyFont="1" applyFill="1" applyBorder="1" applyAlignment="1">
      <alignment vertical="center"/>
    </xf>
    <xf numFmtId="3" fontId="86" fillId="0" borderId="21" xfId="0" applyNumberFormat="1" applyFont="1" applyFill="1" applyBorder="1" applyAlignment="1">
      <alignment vertical="center"/>
    </xf>
    <xf numFmtId="0" fontId="83" fillId="0" borderId="116" xfId="0" applyFont="1" applyFill="1" applyBorder="1" applyAlignment="1">
      <alignment vertical="center"/>
    </xf>
    <xf numFmtId="3" fontId="83" fillId="0" borderId="27" xfId="0" applyNumberFormat="1" applyFont="1" applyFill="1" applyBorder="1" applyAlignment="1">
      <alignment vertical="center"/>
    </xf>
    <xf numFmtId="3" fontId="83" fillId="0" borderId="13" xfId="0" applyNumberFormat="1" applyFont="1" applyFill="1" applyBorder="1" applyAlignment="1">
      <alignment vertical="center"/>
    </xf>
    <xf numFmtId="0" fontId="86" fillId="0" borderId="116" xfId="0" applyFont="1" applyFill="1" applyBorder="1" applyAlignment="1">
      <alignment vertical="center"/>
    </xf>
    <xf numFmtId="3" fontId="86" fillId="0" borderId="27" xfId="0" applyNumberFormat="1" applyFont="1" applyFill="1" applyBorder="1" applyAlignment="1">
      <alignment vertical="center"/>
    </xf>
    <xf numFmtId="3" fontId="86" fillId="0" borderId="13" xfId="0" applyNumberFormat="1" applyFont="1" applyFill="1" applyBorder="1" applyAlignment="1">
      <alignment vertical="center"/>
    </xf>
    <xf numFmtId="3" fontId="86" fillId="0" borderId="81" xfId="0" applyNumberFormat="1" applyFont="1" applyFill="1" applyBorder="1" applyAlignment="1">
      <alignment vertical="center"/>
    </xf>
    <xf numFmtId="0" fontId="83" fillId="0" borderId="31" xfId="0" applyFont="1" applyFill="1" applyBorder="1" applyAlignment="1">
      <alignment vertical="center"/>
    </xf>
    <xf numFmtId="3" fontId="83" fillId="0" borderId="36" xfId="0" applyNumberFormat="1" applyFont="1" applyFill="1" applyBorder="1" applyAlignment="1">
      <alignment vertical="center"/>
    </xf>
    <xf numFmtId="3" fontId="83" fillId="0" borderId="30" xfId="0" applyNumberFormat="1" applyFont="1" applyFill="1" applyBorder="1" applyAlignment="1">
      <alignment vertical="center"/>
    </xf>
    <xf numFmtId="3" fontId="83" fillId="0" borderId="31" xfId="0" applyNumberFormat="1" applyFont="1" applyFill="1" applyBorder="1" applyAlignment="1">
      <alignment vertical="center"/>
    </xf>
    <xf numFmtId="0" fontId="86" fillId="0" borderId="111" xfId="0" applyFont="1" applyFill="1" applyBorder="1" applyAlignment="1">
      <alignment vertical="center"/>
    </xf>
    <xf numFmtId="0" fontId="86" fillId="0" borderId="117" xfId="0" applyFont="1" applyFill="1" applyBorder="1" applyAlignment="1">
      <alignment vertical="center"/>
    </xf>
    <xf numFmtId="3" fontId="86" fillId="0" borderId="90" xfId="0" applyNumberFormat="1" applyFont="1" applyFill="1" applyBorder="1" applyAlignment="1">
      <alignment vertical="center"/>
    </xf>
    <xf numFmtId="3" fontId="86" fillId="0" borderId="22" xfId="0" applyNumberFormat="1" applyFont="1" applyFill="1" applyBorder="1" applyAlignment="1">
      <alignment vertical="center"/>
    </xf>
    <xf numFmtId="3" fontId="86" fillId="0" borderId="107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91" fillId="0" borderId="0" xfId="0" applyFont="1" applyFill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 wrapText="1"/>
    </xf>
    <xf numFmtId="0" fontId="86" fillId="0" borderId="7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vertical="center"/>
    </xf>
    <xf numFmtId="10" fontId="83" fillId="0" borderId="61" xfId="0" applyNumberFormat="1" applyFont="1" applyFill="1" applyBorder="1" applyAlignment="1">
      <alignment vertical="center"/>
    </xf>
    <xf numFmtId="0" fontId="83" fillId="0" borderId="23" xfId="0" applyFont="1" applyFill="1" applyBorder="1" applyAlignment="1">
      <alignment horizontal="center" vertical="center"/>
    </xf>
    <xf numFmtId="49" fontId="83" fillId="0" borderId="12" xfId="0" applyNumberFormat="1" applyFont="1" applyFill="1" applyBorder="1" applyAlignment="1">
      <alignment vertical="center"/>
    </xf>
    <xf numFmtId="3" fontId="83" fillId="0" borderId="35" xfId="0" applyNumberFormat="1" applyFont="1" applyFill="1" applyBorder="1" applyAlignment="1">
      <alignment vertical="center"/>
    </xf>
    <xf numFmtId="10" fontId="83" fillId="0" borderId="29" xfId="0" applyNumberFormat="1" applyFont="1" applyFill="1" applyBorder="1" applyAlignment="1">
      <alignment vertical="center"/>
    </xf>
    <xf numFmtId="0" fontId="83" fillId="0" borderId="12" xfId="0" applyFont="1" applyFill="1" applyBorder="1" applyAlignment="1">
      <alignment vertical="center"/>
    </xf>
    <xf numFmtId="0" fontId="86" fillId="0" borderId="36" xfId="0" applyFont="1" applyFill="1" applyBorder="1" applyAlignment="1">
      <alignment horizontal="center" vertical="center"/>
    </xf>
    <xf numFmtId="0" fontId="86" fillId="0" borderId="30" xfId="0" applyFont="1" applyFill="1" applyBorder="1" applyAlignment="1">
      <alignment vertical="center"/>
    </xf>
    <xf numFmtId="10" fontId="86" fillId="0" borderId="31" xfId="0" applyNumberFormat="1" applyFont="1" applyFill="1" applyBorder="1" applyAlignment="1">
      <alignment vertical="center"/>
    </xf>
    <xf numFmtId="0" fontId="83" fillId="0" borderId="0" xfId="0" applyFont="1" applyFill="1" applyAlignment="1">
      <alignment horizontal="right" vertical="center"/>
    </xf>
    <xf numFmtId="0" fontId="83" fillId="0" borderId="0" xfId="0" applyFont="1" applyFill="1" applyAlignment="1">
      <alignment horizontal="left" vertical="center" indent="1"/>
    </xf>
    <xf numFmtId="0" fontId="83" fillId="0" borderId="0" xfId="0" applyFont="1" applyFill="1" applyAlignment="1">
      <alignment horizontal="center" vertical="center"/>
    </xf>
    <xf numFmtId="0" fontId="86" fillId="0" borderId="28" xfId="0" applyFont="1" applyFill="1" applyBorder="1" applyAlignment="1">
      <alignment horizontal="center" vertical="center" wrapText="1"/>
    </xf>
    <xf numFmtId="0" fontId="86" fillId="0" borderId="111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left" vertical="center"/>
    </xf>
    <xf numFmtId="0" fontId="83" fillId="0" borderId="61" xfId="0" applyFont="1" applyFill="1" applyBorder="1" applyAlignment="1">
      <alignment vertical="center" wrapText="1"/>
    </xf>
    <xf numFmtId="3" fontId="83" fillId="0" borderId="118" xfId="0" applyNumberFormat="1" applyFont="1" applyFill="1" applyBorder="1" applyAlignment="1">
      <alignment vertical="center"/>
    </xf>
    <xf numFmtId="3" fontId="83" fillId="0" borderId="34" xfId="0" applyNumberFormat="1" applyFont="1" applyFill="1" applyBorder="1" applyAlignment="1">
      <alignment vertical="center"/>
    </xf>
    <xf numFmtId="3" fontId="83" fillId="0" borderId="112" xfId="0" applyNumberFormat="1" applyFont="1" applyFill="1" applyBorder="1" applyAlignment="1">
      <alignment vertical="center"/>
    </xf>
    <xf numFmtId="0" fontId="83" fillId="0" borderId="23" xfId="0" applyFont="1" applyFill="1" applyBorder="1" applyAlignment="1">
      <alignment horizontal="left" vertical="center"/>
    </xf>
    <xf numFmtId="0" fontId="83" fillId="0" borderId="29" xfId="0" applyFont="1" applyFill="1" applyBorder="1" applyAlignment="1">
      <alignment vertical="center" wrapText="1"/>
    </xf>
    <xf numFmtId="3" fontId="83" fillId="0" borderId="62" xfId="0" applyNumberFormat="1" applyFont="1" applyFill="1" applyBorder="1" applyAlignment="1">
      <alignment vertical="center"/>
    </xf>
    <xf numFmtId="3" fontId="83" fillId="0" borderId="113" xfId="0" applyNumberFormat="1" applyFont="1" applyFill="1" applyBorder="1" applyAlignment="1">
      <alignment vertical="center"/>
    </xf>
    <xf numFmtId="0" fontId="83" fillId="0" borderId="36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vertical="center" wrapText="1"/>
    </xf>
    <xf numFmtId="3" fontId="83" fillId="0" borderId="119" xfId="0" applyNumberFormat="1" applyFont="1" applyFill="1" applyBorder="1" applyAlignment="1">
      <alignment vertical="center"/>
    </xf>
    <xf numFmtId="3" fontId="83" fillId="0" borderId="63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left" vertical="center"/>
    </xf>
    <xf numFmtId="0" fontId="86" fillId="0" borderId="21" xfId="0" applyFont="1" applyFill="1" applyBorder="1" applyAlignment="1">
      <alignment vertical="center" wrapText="1"/>
    </xf>
    <xf numFmtId="3" fontId="86" fillId="0" borderId="111" xfId="0" applyNumberFormat="1" applyFont="1" applyFill="1" applyBorder="1" applyAlignment="1">
      <alignment vertical="center"/>
    </xf>
    <xf numFmtId="0" fontId="8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vertical="center" wrapText="1"/>
    </xf>
    <xf numFmtId="3" fontId="83" fillId="0" borderId="0" xfId="0" applyNumberFormat="1" applyFont="1" applyFill="1" applyAlignment="1">
      <alignment horizontal="left" vertical="center" indent="1"/>
    </xf>
    <xf numFmtId="0" fontId="83" fillId="0" borderId="19" xfId="0" applyFont="1" applyFill="1" applyBorder="1" applyAlignment="1">
      <alignment vertical="center"/>
    </xf>
    <xf numFmtId="0" fontId="83" fillId="0" borderId="34" xfId="0" applyFont="1" applyFill="1" applyBorder="1" applyAlignment="1">
      <alignment vertical="center" wrapText="1"/>
    </xf>
    <xf numFmtId="3" fontId="83" fillId="0" borderId="19" xfId="0" applyNumberFormat="1" applyFont="1" applyFill="1" applyBorder="1" applyAlignment="1">
      <alignment horizontal="right" vertical="center"/>
    </xf>
    <xf numFmtId="3" fontId="83" fillId="0" borderId="20" xfId="0" applyNumberFormat="1" applyFont="1" applyFill="1" applyBorder="1" applyAlignment="1">
      <alignment horizontal="right" vertical="center"/>
    </xf>
    <xf numFmtId="3" fontId="83" fillId="0" borderId="118" xfId="0" applyNumberFormat="1" applyFont="1" applyFill="1" applyBorder="1" applyAlignment="1">
      <alignment horizontal="right" vertical="center"/>
    </xf>
    <xf numFmtId="3" fontId="83" fillId="0" borderId="34" xfId="0" applyNumberFormat="1" applyFont="1" applyFill="1" applyBorder="1" applyAlignment="1">
      <alignment horizontal="right" vertical="center"/>
    </xf>
    <xf numFmtId="3" fontId="83" fillId="0" borderId="112" xfId="0" applyNumberFormat="1" applyFont="1" applyFill="1" applyBorder="1" applyAlignment="1">
      <alignment horizontal="right" vertical="center"/>
    </xf>
    <xf numFmtId="0" fontId="83" fillId="0" borderId="23" xfId="0" applyFont="1" applyFill="1" applyBorder="1" applyAlignment="1">
      <alignment vertical="center"/>
    </xf>
    <xf numFmtId="0" fontId="83" fillId="0" borderId="35" xfId="0" applyFont="1" applyFill="1" applyBorder="1" applyAlignment="1">
      <alignment vertical="center" wrapText="1"/>
    </xf>
    <xf numFmtId="3" fontId="83" fillId="0" borderId="23" xfId="0" applyNumberFormat="1" applyFont="1" applyFill="1" applyBorder="1" applyAlignment="1">
      <alignment horizontal="right" vertical="center"/>
    </xf>
    <xf numFmtId="3" fontId="83" fillId="0" borderId="14" xfId="0" applyNumberFormat="1" applyFont="1" applyFill="1" applyBorder="1" applyAlignment="1">
      <alignment horizontal="right" vertical="center"/>
    </xf>
    <xf numFmtId="3" fontId="83" fillId="0" borderId="62" xfId="0" applyNumberFormat="1" applyFont="1" applyFill="1" applyBorder="1" applyAlignment="1">
      <alignment horizontal="right" vertical="center"/>
    </xf>
    <xf numFmtId="3" fontId="83" fillId="0" borderId="35" xfId="0" applyNumberFormat="1" applyFont="1" applyFill="1" applyBorder="1" applyAlignment="1">
      <alignment horizontal="right" vertical="center"/>
    </xf>
    <xf numFmtId="3" fontId="83" fillId="0" borderId="113" xfId="0" applyNumberFormat="1" applyFont="1" applyFill="1" applyBorder="1" applyAlignment="1">
      <alignment horizontal="right" vertical="center"/>
    </xf>
    <xf numFmtId="0" fontId="83" fillId="0" borderId="36" xfId="0" applyFont="1" applyFill="1" applyBorder="1" applyAlignment="1">
      <alignment vertical="center"/>
    </xf>
    <xf numFmtId="0" fontId="83" fillId="0" borderId="63" xfId="0" applyFont="1" applyFill="1" applyBorder="1" applyAlignment="1">
      <alignment vertical="center" wrapText="1"/>
    </xf>
    <xf numFmtId="3" fontId="83" fillId="0" borderId="36" xfId="0" applyNumberFormat="1" applyFont="1" applyFill="1" applyBorder="1" applyAlignment="1">
      <alignment horizontal="right" vertical="center"/>
    </xf>
    <xf numFmtId="3" fontId="83" fillId="0" borderId="30" xfId="0" applyNumberFormat="1" applyFont="1" applyFill="1" applyBorder="1" applyAlignment="1">
      <alignment horizontal="right" vertical="center"/>
    </xf>
    <xf numFmtId="3" fontId="83" fillId="0" borderId="119" xfId="0" applyNumberFormat="1" applyFont="1" applyFill="1" applyBorder="1" applyAlignment="1">
      <alignment horizontal="right" vertical="center"/>
    </xf>
    <xf numFmtId="3" fontId="83" fillId="0" borderId="63" xfId="0" applyNumberFormat="1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vertical="center"/>
    </xf>
    <xf numFmtId="0" fontId="86" fillId="0" borderId="24" xfId="0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horizontal="right" vertical="center"/>
    </xf>
    <xf numFmtId="3" fontId="86" fillId="0" borderId="11" xfId="0" applyNumberFormat="1" applyFont="1" applyFill="1" applyBorder="1" applyAlignment="1">
      <alignment horizontal="right" vertical="center"/>
    </xf>
    <xf numFmtId="3" fontId="86" fillId="0" borderId="21" xfId="0" applyNumberFormat="1" applyFont="1" applyFill="1" applyBorder="1" applyAlignment="1">
      <alignment horizontal="right" vertical="center"/>
    </xf>
    <xf numFmtId="3" fontId="86" fillId="0" borderId="111" xfId="0" applyNumberFormat="1" applyFont="1" applyFill="1" applyBorder="1" applyAlignment="1">
      <alignment horizontal="right" vertical="center"/>
    </xf>
    <xf numFmtId="3" fontId="83" fillId="0" borderId="0" xfId="0" applyNumberFormat="1" applyFont="1" applyFill="1" applyAlignment="1">
      <alignment horizontal="right" vertical="center"/>
    </xf>
    <xf numFmtId="3" fontId="86" fillId="0" borderId="6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2" fillId="0" borderId="120" xfId="0" applyFont="1" applyFill="1" applyBorder="1" applyAlignment="1">
      <alignment horizontal="left" vertical="center" wrapText="1"/>
    </xf>
    <xf numFmtId="0" fontId="83" fillId="0" borderId="121" xfId="0" applyFont="1" applyBorder="1" applyAlignment="1">
      <alignment vertical="center"/>
    </xf>
    <xf numFmtId="0" fontId="40" fillId="0" borderId="120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3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8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98" xfId="0" applyFont="1" applyBorder="1" applyAlignment="1">
      <alignment horizontal="right" vertical="top" wrapText="1"/>
    </xf>
    <xf numFmtId="0" fontId="22" fillId="0" borderId="122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3" fontId="25" fillId="0" borderId="34" xfId="0" applyNumberFormat="1" applyFont="1" applyBorder="1" applyAlignment="1">
      <alignment horizontal="center" vertical="center"/>
    </xf>
    <xf numFmtId="3" fontId="25" fillId="0" borderId="118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91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left" vertical="center" wrapText="1"/>
    </xf>
    <xf numFmtId="0" fontId="19" fillId="0" borderId="126" xfId="0" applyFont="1" applyBorder="1" applyAlignment="1">
      <alignment horizontal="left" vertical="center" wrapText="1"/>
    </xf>
    <xf numFmtId="0" fontId="20" fillId="0" borderId="127" xfId="0" applyFont="1" applyBorder="1" applyAlignment="1">
      <alignment horizontal="left" vertical="center" wrapText="1"/>
    </xf>
    <xf numFmtId="0" fontId="20" fillId="0" borderId="128" xfId="0" applyFont="1" applyBorder="1" applyAlignment="1">
      <alignment horizontal="left" vertical="center" wrapText="1"/>
    </xf>
    <xf numFmtId="0" fontId="19" fillId="0" borderId="129" xfId="0" applyFont="1" applyBorder="1" applyAlignment="1">
      <alignment horizontal="left" vertical="center" wrapText="1"/>
    </xf>
    <xf numFmtId="0" fontId="19" fillId="0" borderId="13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6" fillId="0" borderId="9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timea.gyenisne\Matty\Koncepci&#243;\2016%20&#233;vi%20koncepci&#243;%20Mat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timea.gyenisne\Sikl&#243;s\Z&#225;rsz&#225;mad&#225;s\2016.%20&#233;vi%20z&#225;rsz&#225;mad&#225;s\2016.%20&#233;vi%20k&#246;lts&#233;gvet&#233;si%20besz&#225;mol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cepció"/>
      <sheetName val="Támogatás összesen"/>
      <sheetName val="I. helyi önk. ált. támogatás"/>
      <sheetName val="II. Köznev. feladat támogatása"/>
      <sheetName val="III. szoc. gyermek jó-étk. tám."/>
      <sheetName val="IV. kulturális támogatás"/>
    </sheetNames>
    <sheetDataSet>
      <sheetData sheetId="2">
        <row r="4">
          <cell r="B4">
            <v>4580000</v>
          </cell>
        </row>
        <row r="20">
          <cell r="B20">
            <v>22300</v>
          </cell>
        </row>
        <row r="21">
          <cell r="B21">
            <v>46.8</v>
          </cell>
        </row>
        <row r="23">
          <cell r="B23">
            <v>320000</v>
          </cell>
        </row>
        <row r="24">
          <cell r="B24">
            <v>4.7</v>
          </cell>
        </row>
        <row r="29">
          <cell r="B29">
            <v>227000</v>
          </cell>
        </row>
        <row r="30">
          <cell r="B30">
            <v>1.32</v>
          </cell>
        </row>
        <row r="34">
          <cell r="B34">
            <v>2700</v>
          </cell>
        </row>
        <row r="35">
          <cell r="B35">
            <v>352</v>
          </cell>
        </row>
        <row r="38">
          <cell r="B38">
            <v>2550</v>
          </cell>
        </row>
        <row r="39">
          <cell r="B39">
            <v>23</v>
          </cell>
        </row>
        <row r="42">
          <cell r="B42">
            <v>1.55</v>
          </cell>
        </row>
        <row r="43">
          <cell r="B43">
            <v>0</v>
          </cell>
        </row>
      </sheetData>
      <sheetData sheetId="3">
        <row r="4">
          <cell r="E4">
            <v>4308000</v>
          </cell>
        </row>
        <row r="5">
          <cell r="E5">
            <v>1800000</v>
          </cell>
        </row>
        <row r="9">
          <cell r="C9">
            <v>1.4</v>
          </cell>
        </row>
        <row r="37">
          <cell r="C37">
            <v>70000</v>
          </cell>
        </row>
        <row r="38">
          <cell r="C38">
            <v>10</v>
          </cell>
        </row>
        <row r="41">
          <cell r="E41">
            <v>0</v>
          </cell>
        </row>
        <row r="45">
          <cell r="C45">
            <v>384000</v>
          </cell>
        </row>
        <row r="46">
          <cell r="C46">
            <v>0</v>
          </cell>
        </row>
      </sheetData>
      <sheetData sheetId="4">
        <row r="7">
          <cell r="D7">
            <v>0</v>
          </cell>
        </row>
        <row r="8">
          <cell r="D8">
            <v>0</v>
          </cell>
        </row>
        <row r="14">
          <cell r="D14">
            <v>0</v>
          </cell>
        </row>
        <row r="22">
          <cell r="C22">
            <v>55360</v>
          </cell>
        </row>
        <row r="26">
          <cell r="C26">
            <v>145000</v>
          </cell>
        </row>
        <row r="29">
          <cell r="G29">
            <v>0</v>
          </cell>
        </row>
        <row r="30">
          <cell r="G30">
            <v>0</v>
          </cell>
        </row>
        <row r="38">
          <cell r="C38">
            <v>494100</v>
          </cell>
        </row>
        <row r="41">
          <cell r="D41">
            <v>0</v>
          </cell>
        </row>
        <row r="55">
          <cell r="C55">
            <v>800</v>
          </cell>
        </row>
      </sheetData>
      <sheetData sheetId="5">
        <row r="1">
          <cell r="G1">
            <v>1200000</v>
          </cell>
        </row>
        <row r="4">
          <cell r="C4">
            <v>1140</v>
          </cell>
        </row>
        <row r="5">
          <cell r="C5">
            <v>352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tábla"/>
      <sheetName val="1Könyviteli mérleg"/>
      <sheetName val="2Mérleg"/>
      <sheetName val="Létszámkeret"/>
      <sheetName val="3 Város összesen"/>
      <sheetName val="4 Hivatal"/>
      <sheetName val="5 Könyvtár"/>
      <sheetName val="6 Óvoda, bölcsőde"/>
      <sheetName val="Önkormányzat+szakfeladatai"/>
      <sheetName val="7 Önkormányzat"/>
      <sheetName val="8 Köztemető"/>
      <sheetName val="9 Nem lakóingatlan"/>
      <sheetName val="10 Start"/>
      <sheetName val="11 Közutak"/>
      <sheetName val="12 Parkoló"/>
      <sheetName val="13 Piac"/>
      <sheetName val="14 Ár- és belvízvédelem"/>
      <sheetName val="15 Nem veszélyes hulladék"/>
      <sheetName val="16 Veszélyes hulladék"/>
      <sheetName val="17 Szennyvíz"/>
      <sheetName val="18 Víztermelés"/>
      <sheetName val="19 Közvilágítás"/>
      <sheetName val="20 Zöldterület"/>
      <sheetName val="21 Városgazdálkodás"/>
      <sheetName val="22 Család és nővédelem"/>
      <sheetName val="23 Strand"/>
      <sheetName val="24 Óvoda, bölcsőde étkeztetés"/>
      <sheetName val="25 Iskolai étkeztetés"/>
      <sheetName val="26 Szociális bérlakás"/>
      <sheetName val="27 Köznevelési intézmények"/>
      <sheetName val="35 Központi támogatás"/>
      <sheetName val="28 Sportlétesítmények"/>
      <sheetName val="29 Intézményen kívüli étkezés"/>
      <sheetName val="30 Segélyek "/>
      <sheetName val="31 Felhalmozási kiadások"/>
      <sheetName val="32 Átadott pénzeszközök"/>
      <sheetName val="31 Tartalék"/>
      <sheetName val="33 Maradvány"/>
      <sheetName val="34 Részesedés"/>
      <sheetName val="35 Pénzeszköz változás"/>
    </sheetNames>
    <sheetDataSet>
      <sheetData sheetId="32">
        <row r="2">
          <cell r="A2" t="str">
            <v>2016. évi zárszámadás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421875" style="0" bestFit="1" customWidth="1"/>
    <col min="2" max="3" width="28.421875" style="0" bestFit="1" customWidth="1"/>
  </cols>
  <sheetData>
    <row r="1" spans="1:7" ht="15">
      <c r="A1" s="64">
        <v>1</v>
      </c>
      <c r="B1" s="845" t="s">
        <v>354</v>
      </c>
      <c r="C1" s="845"/>
      <c r="D1" s="845"/>
      <c r="E1" s="845"/>
      <c r="F1" s="845"/>
      <c r="G1" s="845"/>
    </row>
    <row r="2" spans="1:7" ht="15">
      <c r="A2" s="64"/>
      <c r="B2" s="97"/>
      <c r="C2" s="97"/>
      <c r="D2" s="97"/>
      <c r="E2" s="97"/>
      <c r="F2" s="97"/>
      <c r="G2" s="97"/>
    </row>
    <row r="3" spans="1:7" ht="15.75" customHeight="1">
      <c r="A3" s="844" t="s">
        <v>323</v>
      </c>
      <c r="B3" s="844"/>
      <c r="C3" s="844"/>
      <c r="D3" s="844"/>
      <c r="E3" s="844"/>
      <c r="F3" s="175"/>
      <c r="G3" s="175"/>
    </row>
    <row r="4" spans="1:7" ht="15.75">
      <c r="A4" s="844" t="s">
        <v>195</v>
      </c>
      <c r="B4" s="844"/>
      <c r="C4" s="844"/>
      <c r="D4" s="844"/>
      <c r="E4" s="844"/>
      <c r="F4" s="175"/>
      <c r="G4" s="175"/>
    </row>
    <row r="5" spans="1:2" ht="15">
      <c r="A5" s="169"/>
      <c r="B5" s="169"/>
    </row>
    <row r="6" spans="1:2" ht="15.75" thickBot="1">
      <c r="A6" s="169"/>
      <c r="B6" s="169"/>
    </row>
    <row r="7" spans="2:3" ht="16.5" thickBot="1">
      <c r="B7" s="170" t="s">
        <v>317</v>
      </c>
      <c r="C7" s="170" t="s">
        <v>318</v>
      </c>
    </row>
    <row r="8" spans="2:3" ht="15">
      <c r="B8" s="171" t="s">
        <v>319</v>
      </c>
      <c r="C8" s="172" t="s">
        <v>210</v>
      </c>
    </row>
    <row r="9" spans="2:3" ht="15.75" thickBot="1">
      <c r="B9" s="173" t="s">
        <v>320</v>
      </c>
      <c r="C9" s="174" t="s">
        <v>321</v>
      </c>
    </row>
  </sheetData>
  <sheetProtection/>
  <mergeCells count="3">
    <mergeCell ref="A3:E3"/>
    <mergeCell ref="A4:E4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L23" sqref="L23"/>
    </sheetView>
  </sheetViews>
  <sheetFormatPr defaultColWidth="9.140625" defaultRowHeight="12" customHeight="1"/>
  <cols>
    <col min="2" max="2" width="34.00390625" style="0" customWidth="1"/>
    <col min="3" max="3" width="9.28125" style="0" bestFit="1" customWidth="1"/>
    <col min="4" max="6" width="9.140625" style="0" hidden="1" customWidth="1"/>
    <col min="7" max="7" width="0" style="0" hidden="1" customWidth="1"/>
  </cols>
  <sheetData>
    <row r="1" spans="1:8" ht="12" customHeight="1">
      <c r="A1" s="265">
        <f>Könyvtár!A1+1</f>
        <v>8</v>
      </c>
      <c r="B1" s="860" t="str">
        <f>Összevont!B1</f>
        <v>. melléklet az 5/2017. (V. 26.) önkormányzati rendelethez</v>
      </c>
      <c r="C1" s="860"/>
      <c r="D1" s="860"/>
      <c r="E1" s="860"/>
      <c r="F1" s="860"/>
      <c r="G1" s="860"/>
      <c r="H1" s="860"/>
    </row>
    <row r="2" spans="1:8" ht="12" customHeight="1">
      <c r="A2" s="265"/>
      <c r="B2" s="442"/>
      <c r="C2" s="442"/>
      <c r="D2" s="442"/>
      <c r="E2" s="442"/>
      <c r="F2" s="442"/>
      <c r="G2" s="442"/>
      <c r="H2" s="442"/>
    </row>
    <row r="3" spans="1:10" ht="12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</row>
    <row r="4" spans="1:10" ht="12" customHeight="1">
      <c r="A4" s="866" t="s">
        <v>400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0" ht="12" customHeight="1">
      <c r="A5" s="725"/>
      <c r="B5" s="725"/>
      <c r="C5" s="725"/>
      <c r="D5" s="725"/>
      <c r="E5" s="725"/>
      <c r="F5" s="725"/>
      <c r="G5" s="725"/>
      <c r="H5" s="725"/>
      <c r="I5" s="725"/>
      <c r="J5" s="725"/>
    </row>
    <row r="6" spans="1:8" ht="12" customHeight="1">
      <c r="A6" s="859" t="s">
        <v>99</v>
      </c>
      <c r="B6" s="859"/>
      <c r="C6" s="859"/>
      <c r="D6" s="859"/>
      <c r="E6" s="859"/>
      <c r="F6" s="859"/>
      <c r="G6" s="859"/>
      <c r="H6" s="859"/>
    </row>
    <row r="7" spans="1:9" ht="12" customHeight="1" thickBot="1">
      <c r="A7" s="7"/>
      <c r="B7" s="7"/>
      <c r="C7" s="7"/>
      <c r="D7" s="7"/>
      <c r="E7" s="498"/>
      <c r="F7" s="498"/>
      <c r="G7" s="498"/>
      <c r="H7" s="498"/>
      <c r="I7" s="68" t="s">
        <v>363</v>
      </c>
    </row>
    <row r="8" spans="1:10" ht="23.25" thickBot="1">
      <c r="A8" s="30" t="s">
        <v>0</v>
      </c>
      <c r="B8" s="31" t="s">
        <v>1</v>
      </c>
      <c r="C8" s="31" t="s">
        <v>322</v>
      </c>
      <c r="D8" s="31" t="s">
        <v>373</v>
      </c>
      <c r="E8" s="35" t="s">
        <v>366</v>
      </c>
      <c r="F8" s="35" t="s">
        <v>358</v>
      </c>
      <c r="G8" s="35" t="s">
        <v>393</v>
      </c>
      <c r="H8" s="35" t="s">
        <v>359</v>
      </c>
      <c r="I8" s="31" t="s">
        <v>398</v>
      </c>
      <c r="J8" s="501" t="s">
        <v>399</v>
      </c>
    </row>
    <row r="9" spans="1:10" ht="12" customHeight="1" thickBot="1">
      <c r="A9" s="868" t="s">
        <v>44</v>
      </c>
      <c r="B9" s="869"/>
      <c r="C9" s="869"/>
      <c r="D9" s="869"/>
      <c r="E9" s="869"/>
      <c r="F9" s="869"/>
      <c r="G9" s="869"/>
      <c r="H9" s="869"/>
      <c r="I9" s="41"/>
      <c r="J9" s="283"/>
    </row>
    <row r="10" spans="1:10" ht="12" customHeight="1" thickBot="1">
      <c r="A10" s="9" t="s">
        <v>6</v>
      </c>
      <c r="B10" s="10" t="s">
        <v>7</v>
      </c>
      <c r="C10" s="11">
        <v>0</v>
      </c>
      <c r="D10" s="11">
        <v>0</v>
      </c>
      <c r="E10" s="55">
        <v>0</v>
      </c>
      <c r="F10" s="55">
        <v>0</v>
      </c>
      <c r="G10" s="55">
        <v>0</v>
      </c>
      <c r="H10" s="55">
        <f>C10+D10</f>
        <v>0</v>
      </c>
      <c r="I10" s="260">
        <v>0</v>
      </c>
      <c r="J10" s="483">
        <v>0</v>
      </c>
    </row>
    <row r="11" spans="1:10" ht="12" customHeight="1" thickBot="1">
      <c r="A11" s="9" t="s">
        <v>8</v>
      </c>
      <c r="B11" s="10" t="s">
        <v>45</v>
      </c>
      <c r="C11" s="11">
        <v>0</v>
      </c>
      <c r="D11" s="11">
        <v>0</v>
      </c>
      <c r="E11" s="55">
        <v>0</v>
      </c>
      <c r="F11" s="55">
        <v>0</v>
      </c>
      <c r="G11" s="55">
        <v>0</v>
      </c>
      <c r="H11" s="55">
        <f aca="true" t="shared" si="0" ref="H11:H20">C11+D11</f>
        <v>0</v>
      </c>
      <c r="I11" s="260">
        <v>0</v>
      </c>
      <c r="J11" s="483">
        <v>0</v>
      </c>
    </row>
    <row r="12" spans="1:10" ht="12" customHeight="1" thickBot="1">
      <c r="A12" s="9" t="s">
        <v>9</v>
      </c>
      <c r="B12" s="10" t="s">
        <v>10</v>
      </c>
      <c r="C12" s="11">
        <v>0</v>
      </c>
      <c r="D12" s="11">
        <v>0</v>
      </c>
      <c r="E12" s="55">
        <v>0</v>
      </c>
      <c r="F12" s="55">
        <v>0</v>
      </c>
      <c r="G12" s="55">
        <v>0</v>
      </c>
      <c r="H12" s="55">
        <f t="shared" si="0"/>
        <v>0</v>
      </c>
      <c r="I12" s="260">
        <v>0</v>
      </c>
      <c r="J12" s="483">
        <v>0</v>
      </c>
    </row>
    <row r="13" spans="1:10" ht="12" customHeight="1" thickBot="1">
      <c r="A13" s="9" t="s">
        <v>11</v>
      </c>
      <c r="B13" s="10" t="s">
        <v>12</v>
      </c>
      <c r="C13" s="11">
        <v>0</v>
      </c>
      <c r="D13" s="11">
        <v>0</v>
      </c>
      <c r="E13" s="55">
        <v>0</v>
      </c>
      <c r="F13" s="55">
        <v>0</v>
      </c>
      <c r="G13" s="55">
        <v>0</v>
      </c>
      <c r="H13" s="55">
        <f t="shared" si="0"/>
        <v>0</v>
      </c>
      <c r="I13" s="260">
        <v>0</v>
      </c>
      <c r="J13" s="483">
        <v>0</v>
      </c>
    </row>
    <row r="14" spans="1:10" ht="12" customHeight="1" thickBot="1">
      <c r="A14" s="9" t="s">
        <v>14</v>
      </c>
      <c r="B14" s="10" t="s">
        <v>15</v>
      </c>
      <c r="C14" s="11">
        <v>0</v>
      </c>
      <c r="D14" s="11">
        <v>0</v>
      </c>
      <c r="E14" s="55">
        <v>0</v>
      </c>
      <c r="F14" s="55">
        <v>0</v>
      </c>
      <c r="G14" s="55">
        <v>0</v>
      </c>
      <c r="H14" s="55">
        <f t="shared" si="0"/>
        <v>0</v>
      </c>
      <c r="I14" s="260"/>
      <c r="J14" s="483">
        <v>0</v>
      </c>
    </row>
    <row r="15" spans="1:10" ht="12" customHeight="1" thickBot="1">
      <c r="A15" s="9" t="s">
        <v>16</v>
      </c>
      <c r="B15" s="10" t="s">
        <v>17</v>
      </c>
      <c r="C15" s="11">
        <v>0</v>
      </c>
      <c r="D15" s="11">
        <v>0</v>
      </c>
      <c r="E15" s="55">
        <v>0</v>
      </c>
      <c r="F15" s="55">
        <v>0</v>
      </c>
      <c r="G15" s="55">
        <v>0</v>
      </c>
      <c r="H15" s="55">
        <f t="shared" si="0"/>
        <v>0</v>
      </c>
      <c r="I15" s="260">
        <v>0</v>
      </c>
      <c r="J15" s="483">
        <v>0</v>
      </c>
    </row>
    <row r="16" spans="1:10" ht="12" customHeight="1" thickBot="1">
      <c r="A16" s="9" t="s">
        <v>18</v>
      </c>
      <c r="B16" s="10" t="s">
        <v>19</v>
      </c>
      <c r="C16" s="11">
        <v>0</v>
      </c>
      <c r="D16" s="11">
        <v>0</v>
      </c>
      <c r="E16" s="55">
        <v>0</v>
      </c>
      <c r="F16" s="55">
        <v>0</v>
      </c>
      <c r="G16" s="55">
        <v>0</v>
      </c>
      <c r="H16" s="55">
        <f t="shared" si="0"/>
        <v>0</v>
      </c>
      <c r="I16" s="260">
        <v>0</v>
      </c>
      <c r="J16" s="483">
        <v>0</v>
      </c>
    </row>
    <row r="17" spans="1:10" ht="12" customHeight="1" thickBot="1">
      <c r="A17" s="9" t="s">
        <v>20</v>
      </c>
      <c r="B17" s="12" t="s">
        <v>21</v>
      </c>
      <c r="C17" s="13">
        <f>SUM(C10:C16)</f>
        <v>0</v>
      </c>
      <c r="D17" s="13">
        <f>SUM(D10:D16)</f>
        <v>0</v>
      </c>
      <c r="E17" s="13">
        <f>SUM(E10:E16)</f>
        <v>0</v>
      </c>
      <c r="F17" s="13">
        <f>SUM(F10:F16)</f>
        <v>0</v>
      </c>
      <c r="G17" s="13">
        <f>SUM(G10:G16)</f>
        <v>0</v>
      </c>
      <c r="H17" s="56">
        <f t="shared" si="0"/>
        <v>0</v>
      </c>
      <c r="I17" s="260">
        <f>SUM(I10:I16)</f>
        <v>0</v>
      </c>
      <c r="J17" s="483">
        <v>0</v>
      </c>
    </row>
    <row r="18" spans="1:10" ht="12" customHeight="1" thickBot="1">
      <c r="A18" s="9" t="s">
        <v>23</v>
      </c>
      <c r="B18" s="10" t="s">
        <v>22</v>
      </c>
      <c r="C18" s="11">
        <f>SUM(C19:C20)</f>
        <v>0</v>
      </c>
      <c r="D18" s="11">
        <f>SUM(D19:D20)</f>
        <v>0</v>
      </c>
      <c r="E18" s="11">
        <f>SUM(E19:E20)</f>
        <v>0</v>
      </c>
      <c r="F18" s="11">
        <f>SUM(F19:F20)</f>
        <v>0</v>
      </c>
      <c r="G18" s="11">
        <f>SUM(G19:G20)</f>
        <v>0</v>
      </c>
      <c r="H18" s="55">
        <f t="shared" si="0"/>
        <v>0</v>
      </c>
      <c r="I18" s="260">
        <f>SUM(I19:I20)</f>
        <v>0</v>
      </c>
      <c r="J18" s="483">
        <v>0</v>
      </c>
    </row>
    <row r="19" spans="1:10" ht="12" customHeight="1">
      <c r="A19" s="38"/>
      <c r="B19" s="14" t="s">
        <v>46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1">
        <f>C19+D19</f>
        <v>0</v>
      </c>
      <c r="I19" s="478">
        <v>0</v>
      </c>
      <c r="J19" s="489">
        <v>0</v>
      </c>
    </row>
    <row r="20" spans="1:10" ht="12" customHeight="1" thickBot="1">
      <c r="A20" s="40"/>
      <c r="B20" s="16" t="s">
        <v>47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57">
        <f t="shared" si="0"/>
        <v>0</v>
      </c>
      <c r="I20" s="481">
        <v>0</v>
      </c>
      <c r="J20" s="491">
        <v>0</v>
      </c>
    </row>
    <row r="21" spans="1:10" ht="12" customHeight="1" thickBot="1">
      <c r="A21" s="9" t="s">
        <v>24</v>
      </c>
      <c r="B21" s="10" t="s">
        <v>25</v>
      </c>
      <c r="C21" s="11">
        <f>C17+C18</f>
        <v>0</v>
      </c>
      <c r="D21" s="11">
        <f>D17+D18</f>
        <v>0</v>
      </c>
      <c r="E21" s="11">
        <f>E17+E18</f>
        <v>0</v>
      </c>
      <c r="F21" s="11">
        <f>F17+F18</f>
        <v>0</v>
      </c>
      <c r="G21" s="11">
        <f>G17+G18</f>
        <v>0</v>
      </c>
      <c r="H21" s="55">
        <f>C21+D21</f>
        <v>0</v>
      </c>
      <c r="I21" s="260">
        <f>I18+I17</f>
        <v>0</v>
      </c>
      <c r="J21" s="483">
        <v>0</v>
      </c>
    </row>
    <row r="22" spans="1:10" ht="12" customHeight="1" thickBot="1">
      <c r="A22" s="18"/>
      <c r="B22" s="18"/>
      <c r="C22" s="19"/>
      <c r="D22" s="19"/>
      <c r="E22" s="19"/>
      <c r="F22" s="19"/>
      <c r="G22" s="19"/>
      <c r="H22" s="19"/>
      <c r="I22" s="482"/>
      <c r="J22" s="483"/>
    </row>
    <row r="23" spans="1:10" ht="12" customHeight="1" thickBot="1">
      <c r="A23" s="868" t="s">
        <v>48</v>
      </c>
      <c r="B23" s="869"/>
      <c r="C23" s="869"/>
      <c r="D23" s="869"/>
      <c r="E23" s="869"/>
      <c r="F23" s="869"/>
      <c r="G23" s="869"/>
      <c r="H23" s="869"/>
      <c r="I23" s="41"/>
      <c r="J23" s="283"/>
    </row>
    <row r="24" spans="1:10" ht="12" customHeight="1" thickBot="1">
      <c r="A24" s="9" t="s">
        <v>26</v>
      </c>
      <c r="B24" s="10" t="s">
        <v>27</v>
      </c>
      <c r="C24" s="11">
        <f>SUM(C25+C34)</f>
        <v>0</v>
      </c>
      <c r="D24" s="11">
        <f>SUM(D25:D37)</f>
        <v>0</v>
      </c>
      <c r="E24" s="11">
        <f>SUM(E25:E37)</f>
        <v>0</v>
      </c>
      <c r="F24" s="55">
        <v>0</v>
      </c>
      <c r="G24" s="55">
        <v>0</v>
      </c>
      <c r="H24" s="11">
        <f>C24+D24</f>
        <v>0</v>
      </c>
      <c r="I24" s="260">
        <f>I25+I34</f>
        <v>0</v>
      </c>
      <c r="J24" s="483">
        <v>0</v>
      </c>
    </row>
    <row r="25" spans="1:10" ht="12" customHeight="1">
      <c r="A25" s="38" t="s">
        <v>49</v>
      </c>
      <c r="B25" s="14" t="s">
        <v>50</v>
      </c>
      <c r="C25" s="15">
        <f>SUM(C26:C33)</f>
        <v>0</v>
      </c>
      <c r="D25" s="15">
        <f>SUM(D26:D33)</f>
        <v>0</v>
      </c>
      <c r="E25" s="241">
        <v>0</v>
      </c>
      <c r="F25" s="241">
        <v>0</v>
      </c>
      <c r="G25" s="241">
        <v>0</v>
      </c>
      <c r="H25" s="408">
        <f>C25+D25</f>
        <v>0</v>
      </c>
      <c r="I25" s="478">
        <v>0</v>
      </c>
      <c r="J25" s="489">
        <v>0</v>
      </c>
    </row>
    <row r="26" spans="1:10" ht="12" customHeight="1">
      <c r="A26" s="34"/>
      <c r="B26" s="20" t="s">
        <v>51</v>
      </c>
      <c r="C26" s="21">
        <v>0</v>
      </c>
      <c r="D26" s="21">
        <v>0</v>
      </c>
      <c r="E26" s="241">
        <v>0</v>
      </c>
      <c r="F26" s="241">
        <v>0</v>
      </c>
      <c r="G26" s="241">
        <v>0</v>
      </c>
      <c r="H26" s="408">
        <f>C26+D26</f>
        <v>0</v>
      </c>
      <c r="I26" s="474">
        <v>0</v>
      </c>
      <c r="J26" s="490">
        <v>0</v>
      </c>
    </row>
    <row r="27" spans="1:10" ht="12" customHeight="1">
      <c r="A27" s="34"/>
      <c r="B27" s="20" t="s">
        <v>52</v>
      </c>
      <c r="C27" s="21">
        <v>0</v>
      </c>
      <c r="D27" s="21">
        <v>0</v>
      </c>
      <c r="E27" s="241">
        <v>0</v>
      </c>
      <c r="F27" s="241">
        <v>0</v>
      </c>
      <c r="G27" s="241">
        <v>0</v>
      </c>
      <c r="H27" s="408">
        <f aca="true" t="shared" si="1" ref="H27:H41">C27+D27</f>
        <v>0</v>
      </c>
      <c r="I27" s="474">
        <v>0</v>
      </c>
      <c r="J27" s="490">
        <v>0</v>
      </c>
    </row>
    <row r="28" spans="1:10" ht="12" customHeight="1">
      <c r="A28" s="34"/>
      <c r="B28" s="20" t="s">
        <v>53</v>
      </c>
      <c r="C28" s="21">
        <v>0</v>
      </c>
      <c r="D28" s="21">
        <v>0</v>
      </c>
      <c r="E28" s="241">
        <v>0</v>
      </c>
      <c r="F28" s="241">
        <v>0</v>
      </c>
      <c r="G28" s="241">
        <v>0</v>
      </c>
      <c r="H28" s="408">
        <f t="shared" si="1"/>
        <v>0</v>
      </c>
      <c r="I28" s="474">
        <v>0</v>
      </c>
      <c r="J28" s="490">
        <v>0</v>
      </c>
    </row>
    <row r="29" spans="1:10" ht="12" customHeight="1">
      <c r="A29" s="34"/>
      <c r="B29" s="20" t="s">
        <v>196</v>
      </c>
      <c r="C29" s="21">
        <v>0</v>
      </c>
      <c r="D29" s="21">
        <v>0</v>
      </c>
      <c r="E29" s="241">
        <v>0</v>
      </c>
      <c r="F29" s="241">
        <v>0</v>
      </c>
      <c r="G29" s="241">
        <v>0</v>
      </c>
      <c r="H29" s="408">
        <v>0</v>
      </c>
      <c r="I29" s="474">
        <v>0</v>
      </c>
      <c r="J29" s="490">
        <v>0</v>
      </c>
    </row>
    <row r="30" spans="1:10" ht="12" customHeight="1">
      <c r="A30" s="34"/>
      <c r="B30" s="20" t="s">
        <v>103</v>
      </c>
      <c r="C30" s="21">
        <v>0</v>
      </c>
      <c r="D30" s="21">
        <v>0</v>
      </c>
      <c r="E30" s="241">
        <v>0</v>
      </c>
      <c r="F30" s="241">
        <v>0</v>
      </c>
      <c r="G30" s="241">
        <v>0</v>
      </c>
      <c r="H30" s="408">
        <f t="shared" si="1"/>
        <v>0</v>
      </c>
      <c r="I30" s="474">
        <v>0</v>
      </c>
      <c r="J30" s="490">
        <v>0</v>
      </c>
    </row>
    <row r="31" spans="1:10" ht="12" customHeight="1">
      <c r="A31" s="34"/>
      <c r="B31" s="20" t="s">
        <v>55</v>
      </c>
      <c r="C31" s="21">
        <v>0</v>
      </c>
      <c r="D31" s="21">
        <v>0</v>
      </c>
      <c r="E31" s="241">
        <v>0</v>
      </c>
      <c r="F31" s="241">
        <v>0</v>
      </c>
      <c r="G31" s="241">
        <v>0</v>
      </c>
      <c r="H31" s="408">
        <f t="shared" si="1"/>
        <v>0</v>
      </c>
      <c r="I31" s="474">
        <v>0</v>
      </c>
      <c r="J31" s="490">
        <v>0</v>
      </c>
    </row>
    <row r="32" spans="1:10" ht="12" customHeight="1">
      <c r="A32" s="34"/>
      <c r="B32" s="20" t="s">
        <v>56</v>
      </c>
      <c r="C32" s="21">
        <v>0</v>
      </c>
      <c r="D32" s="21">
        <v>0</v>
      </c>
      <c r="E32" s="241">
        <v>0</v>
      </c>
      <c r="F32" s="241">
        <v>0</v>
      </c>
      <c r="G32" s="241">
        <v>0</v>
      </c>
      <c r="H32" s="408">
        <f t="shared" si="1"/>
        <v>0</v>
      </c>
      <c r="I32" s="474">
        <v>0</v>
      </c>
      <c r="J32" s="490">
        <v>0</v>
      </c>
    </row>
    <row r="33" spans="1:10" ht="12" customHeight="1">
      <c r="A33" s="34"/>
      <c r="B33" s="20" t="s">
        <v>57</v>
      </c>
      <c r="C33" s="21">
        <v>0</v>
      </c>
      <c r="D33" s="21">
        <v>0</v>
      </c>
      <c r="E33" s="241">
        <v>0</v>
      </c>
      <c r="F33" s="241">
        <v>0</v>
      </c>
      <c r="G33" s="241">
        <v>0</v>
      </c>
      <c r="H33" s="408">
        <f t="shared" si="1"/>
        <v>0</v>
      </c>
      <c r="I33" s="474">
        <v>0</v>
      </c>
      <c r="J33" s="490">
        <v>0</v>
      </c>
    </row>
    <row r="34" spans="1:10" ht="12" customHeight="1">
      <c r="A34" s="34" t="s">
        <v>58</v>
      </c>
      <c r="B34" s="20" t="s">
        <v>59</v>
      </c>
      <c r="C34" s="21">
        <v>0</v>
      </c>
      <c r="D34" s="21">
        <v>0</v>
      </c>
      <c r="E34" s="241">
        <v>0</v>
      </c>
      <c r="F34" s="241">
        <v>0</v>
      </c>
      <c r="G34" s="241">
        <v>0</v>
      </c>
      <c r="H34" s="21">
        <f>SUM(H35:H37)</f>
        <v>0</v>
      </c>
      <c r="I34" s="474">
        <v>0</v>
      </c>
      <c r="J34" s="490">
        <v>0</v>
      </c>
    </row>
    <row r="35" spans="1:10" ht="12" customHeight="1">
      <c r="A35" s="34"/>
      <c r="B35" s="20" t="s">
        <v>60</v>
      </c>
      <c r="C35" s="21">
        <v>0</v>
      </c>
      <c r="D35" s="21">
        <v>0</v>
      </c>
      <c r="E35" s="241">
        <v>0</v>
      </c>
      <c r="F35" s="241">
        <v>0</v>
      </c>
      <c r="G35" s="241">
        <v>0</v>
      </c>
      <c r="H35" s="408">
        <f t="shared" si="1"/>
        <v>0</v>
      </c>
      <c r="I35" s="474">
        <v>0</v>
      </c>
      <c r="J35" s="490">
        <v>0</v>
      </c>
    </row>
    <row r="36" spans="1:10" ht="12" customHeight="1">
      <c r="A36" s="34"/>
      <c r="B36" s="20" t="s">
        <v>85</v>
      </c>
      <c r="C36" s="21">
        <v>0</v>
      </c>
      <c r="D36" s="21">
        <v>0</v>
      </c>
      <c r="E36" s="241">
        <v>0</v>
      </c>
      <c r="F36" s="241">
        <v>0</v>
      </c>
      <c r="G36" s="241">
        <v>0</v>
      </c>
      <c r="H36" s="408">
        <f t="shared" si="1"/>
        <v>0</v>
      </c>
      <c r="I36" s="408">
        <v>0</v>
      </c>
      <c r="J36" s="491">
        <v>0</v>
      </c>
    </row>
    <row r="37" spans="1:10" ht="12" customHeight="1" thickBot="1">
      <c r="A37" s="40"/>
      <c r="B37" s="16" t="s">
        <v>61</v>
      </c>
      <c r="C37" s="21">
        <v>0</v>
      </c>
      <c r="D37" s="21">
        <v>0</v>
      </c>
      <c r="E37" s="241">
        <v>0</v>
      </c>
      <c r="F37" s="241">
        <v>0</v>
      </c>
      <c r="G37" s="241">
        <v>0</v>
      </c>
      <c r="H37" s="408">
        <f t="shared" si="1"/>
        <v>0</v>
      </c>
      <c r="I37" s="408">
        <v>0</v>
      </c>
      <c r="J37" s="491">
        <v>0</v>
      </c>
    </row>
    <row r="38" spans="1:10" ht="12" customHeight="1" thickBot="1">
      <c r="A38" s="9" t="s">
        <v>28</v>
      </c>
      <c r="B38" s="22" t="s">
        <v>84</v>
      </c>
      <c r="C38" s="11">
        <f>SUM(C39:C41)</f>
        <v>0</v>
      </c>
      <c r="D38" s="11">
        <f>SUM(D39:D41)</f>
        <v>0</v>
      </c>
      <c r="E38" s="11">
        <f>SUM(E39:E41)</f>
        <v>0</v>
      </c>
      <c r="F38" s="55">
        <v>0</v>
      </c>
      <c r="G38" s="55">
        <v>0</v>
      </c>
      <c r="H38" s="11">
        <f>C38+D38</f>
        <v>0</v>
      </c>
      <c r="I38" s="260">
        <f>SUM(I38:I41)</f>
        <v>0</v>
      </c>
      <c r="J38" s="480">
        <v>0</v>
      </c>
    </row>
    <row r="39" spans="1:10" ht="12" customHeight="1">
      <c r="A39" s="34"/>
      <c r="B39" s="20" t="s">
        <v>62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408">
        <f t="shared" si="1"/>
        <v>0</v>
      </c>
      <c r="I39" s="473">
        <v>0</v>
      </c>
      <c r="J39" s="504">
        <v>0</v>
      </c>
    </row>
    <row r="40" spans="1:10" ht="12" customHeight="1">
      <c r="A40" s="34"/>
      <c r="B40" s="20" t="s">
        <v>63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408">
        <f t="shared" si="1"/>
        <v>0</v>
      </c>
      <c r="I40" s="474">
        <v>0</v>
      </c>
      <c r="J40" s="491">
        <v>0</v>
      </c>
    </row>
    <row r="41" spans="1:10" ht="12" customHeight="1" thickBot="1">
      <c r="A41" s="40"/>
      <c r="B41" s="16" t="s">
        <v>64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506">
        <f t="shared" si="1"/>
        <v>0</v>
      </c>
      <c r="I41" s="531">
        <v>0</v>
      </c>
      <c r="J41" s="491">
        <v>0</v>
      </c>
    </row>
    <row r="42" spans="1:10" ht="12" customHeight="1" thickBot="1">
      <c r="A42" s="9" t="s">
        <v>29</v>
      </c>
      <c r="B42" s="10" t="s">
        <v>30</v>
      </c>
      <c r="C42" s="11">
        <f>SUM(C43+C44+C45+C52+C53)</f>
        <v>918000</v>
      </c>
      <c r="D42" s="11">
        <f>SUM(D43+D44+D45+D52+D53)</f>
        <v>0</v>
      </c>
      <c r="E42" s="11">
        <f>SUM(E43+E44+E45+E52+E53)</f>
        <v>1400</v>
      </c>
      <c r="F42" s="11">
        <f>SUM(F43+F44+F45+F52+F53)</f>
        <v>0</v>
      </c>
      <c r="G42" s="11">
        <f>SUM(G43+G44+G45+G52+G53)</f>
        <v>40700</v>
      </c>
      <c r="H42" s="11">
        <f>C42+D42+E42+F42+G42</f>
        <v>960100</v>
      </c>
      <c r="I42" s="260">
        <f>I43+I44+I45+I52+I53</f>
        <v>861276</v>
      </c>
      <c r="J42" s="483">
        <f>I42/H42</f>
        <v>0.8970690553067389</v>
      </c>
    </row>
    <row r="43" spans="1:10" ht="12" customHeight="1">
      <c r="A43" s="38" t="s">
        <v>65</v>
      </c>
      <c r="B43" s="14" t="s">
        <v>67</v>
      </c>
      <c r="C43" s="15">
        <v>0</v>
      </c>
      <c r="D43" s="15">
        <v>0</v>
      </c>
      <c r="E43" s="241">
        <v>0</v>
      </c>
      <c r="F43" s="241">
        <v>0</v>
      </c>
      <c r="G43" s="241">
        <v>0</v>
      </c>
      <c r="H43" s="15">
        <f>C43+D43+E43+F43+G43</f>
        <v>0</v>
      </c>
      <c r="I43" s="532"/>
      <c r="J43" s="536">
        <v>0</v>
      </c>
    </row>
    <row r="44" spans="1:10" ht="12" customHeight="1">
      <c r="A44" s="34" t="s">
        <v>66</v>
      </c>
      <c r="B44" s="20" t="s">
        <v>68</v>
      </c>
      <c r="C44" s="21">
        <v>0</v>
      </c>
      <c r="D44" s="21">
        <v>0</v>
      </c>
      <c r="E44" s="241">
        <v>0</v>
      </c>
      <c r="F44" s="241">
        <v>0</v>
      </c>
      <c r="G44" s="241">
        <v>0</v>
      </c>
      <c r="H44" s="15">
        <f>C44+D44+E44+F44+G44</f>
        <v>0</v>
      </c>
      <c r="I44" s="532"/>
      <c r="J44" s="536">
        <v>0</v>
      </c>
    </row>
    <row r="45" spans="1:10" ht="12" customHeight="1">
      <c r="A45" s="34" t="s">
        <v>69</v>
      </c>
      <c r="B45" s="20" t="s">
        <v>70</v>
      </c>
      <c r="C45" s="21">
        <f>SUM(C46:C51)</f>
        <v>723000</v>
      </c>
      <c r="D45" s="21">
        <f>SUM(D46:D51)</f>
        <v>0</v>
      </c>
      <c r="E45" s="21">
        <f>SUM(E46:E51)</f>
        <v>1400</v>
      </c>
      <c r="F45" s="21">
        <f>SUM(F46:F51)</f>
        <v>0</v>
      </c>
      <c r="G45" s="21">
        <f>SUM(G46:G51)</f>
        <v>40700</v>
      </c>
      <c r="H45" s="15">
        <f aca="true" t="shared" si="2" ref="H45:H55">C45+D45+E45+F45+G45</f>
        <v>765100</v>
      </c>
      <c r="I45" s="532">
        <f>SUM(I46:I51)</f>
        <v>689350</v>
      </c>
      <c r="J45" s="536">
        <f>I45/H45</f>
        <v>0.9009933342046791</v>
      </c>
    </row>
    <row r="46" spans="1:10" ht="12" customHeight="1">
      <c r="A46" s="34"/>
      <c r="B46" s="20" t="s">
        <v>91</v>
      </c>
      <c r="C46" s="21">
        <v>573000</v>
      </c>
      <c r="D46" s="21">
        <v>0</v>
      </c>
      <c r="E46" s="241">
        <v>0</v>
      </c>
      <c r="F46" s="241">
        <v>0</v>
      </c>
      <c r="G46" s="241">
        <v>40000</v>
      </c>
      <c r="H46" s="15">
        <f t="shared" si="2"/>
        <v>613000</v>
      </c>
      <c r="I46" s="532">
        <v>611541</v>
      </c>
      <c r="J46" s="536">
        <f>I46/H46</f>
        <v>0.9976199021207178</v>
      </c>
    </row>
    <row r="47" spans="1:10" ht="12" customHeight="1">
      <c r="A47" s="34"/>
      <c r="B47" s="23" t="s">
        <v>97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15">
        <f t="shared" si="2"/>
        <v>0</v>
      </c>
      <c r="I47" s="532"/>
      <c r="J47" s="536">
        <v>0</v>
      </c>
    </row>
    <row r="48" spans="1:10" ht="12" customHeight="1">
      <c r="A48" s="34"/>
      <c r="B48" s="20" t="s">
        <v>71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15">
        <f t="shared" si="2"/>
        <v>0</v>
      </c>
      <c r="I48" s="532"/>
      <c r="J48" s="536">
        <v>0</v>
      </c>
    </row>
    <row r="49" spans="1:10" ht="12" customHeight="1">
      <c r="A49" s="34"/>
      <c r="B49" s="20" t="s">
        <v>92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15">
        <f t="shared" si="2"/>
        <v>0</v>
      </c>
      <c r="I49" s="532"/>
      <c r="J49" s="536">
        <v>0</v>
      </c>
    </row>
    <row r="50" spans="1:10" ht="12" customHeight="1">
      <c r="A50" s="34"/>
      <c r="B50" s="20" t="s">
        <v>72</v>
      </c>
      <c r="C50" s="21">
        <v>150000</v>
      </c>
      <c r="D50" s="21">
        <v>0</v>
      </c>
      <c r="E50" s="241">
        <v>0</v>
      </c>
      <c r="F50" s="241">
        <v>0</v>
      </c>
      <c r="G50" s="241">
        <v>0</v>
      </c>
      <c r="H50" s="15">
        <f t="shared" si="2"/>
        <v>150000</v>
      </c>
      <c r="I50" s="532">
        <v>75717</v>
      </c>
      <c r="J50" s="536">
        <f>I50/H50</f>
        <v>0.50478</v>
      </c>
    </row>
    <row r="51" spans="1:10" ht="12" customHeight="1">
      <c r="A51" s="34"/>
      <c r="B51" s="20" t="s">
        <v>73</v>
      </c>
      <c r="C51" s="21">
        <v>0</v>
      </c>
      <c r="D51" s="21">
        <v>0</v>
      </c>
      <c r="E51" s="241">
        <v>1400</v>
      </c>
      <c r="F51" s="241">
        <v>0</v>
      </c>
      <c r="G51" s="241">
        <v>700</v>
      </c>
      <c r="H51" s="15">
        <f t="shared" si="2"/>
        <v>2100</v>
      </c>
      <c r="I51" s="532">
        <v>2092</v>
      </c>
      <c r="J51" s="536">
        <f>I51/H51</f>
        <v>0.9961904761904762</v>
      </c>
    </row>
    <row r="52" spans="1:10" ht="12" customHeight="1">
      <c r="A52" s="34" t="s">
        <v>74</v>
      </c>
      <c r="B52" s="20" t="s">
        <v>75</v>
      </c>
      <c r="C52" s="21">
        <v>0</v>
      </c>
      <c r="D52" s="21">
        <v>0</v>
      </c>
      <c r="E52" s="241">
        <v>0</v>
      </c>
      <c r="F52" s="241">
        <v>0</v>
      </c>
      <c r="G52" s="241">
        <v>0</v>
      </c>
      <c r="H52" s="15">
        <f t="shared" si="2"/>
        <v>0</v>
      </c>
      <c r="I52" s="532"/>
      <c r="J52" s="536">
        <v>0</v>
      </c>
    </row>
    <row r="53" spans="1:10" ht="12" customHeight="1">
      <c r="A53" s="34" t="s">
        <v>76</v>
      </c>
      <c r="B53" s="20" t="s">
        <v>77</v>
      </c>
      <c r="C53" s="21">
        <f>SUM(C54:C55)</f>
        <v>195000</v>
      </c>
      <c r="D53" s="21">
        <f>SUM(D54:D55)</f>
        <v>0</v>
      </c>
      <c r="E53" s="21">
        <f>SUM(E54:E55)</f>
        <v>0</v>
      </c>
      <c r="F53" s="21">
        <f>SUM(F54:F55)</f>
        <v>0</v>
      </c>
      <c r="G53" s="21">
        <f>SUM(G54:G55)</f>
        <v>0</v>
      </c>
      <c r="H53" s="15">
        <f t="shared" si="2"/>
        <v>195000</v>
      </c>
      <c r="I53" s="532">
        <f>I54+I55</f>
        <v>171926</v>
      </c>
      <c r="J53" s="536">
        <f>I53/H53</f>
        <v>0.8816717948717949</v>
      </c>
    </row>
    <row r="54" spans="1:10" ht="12" customHeight="1">
      <c r="A54" s="34"/>
      <c r="B54" s="20" t="s">
        <v>87</v>
      </c>
      <c r="C54" s="21">
        <v>195000</v>
      </c>
      <c r="D54" s="21">
        <v>0</v>
      </c>
      <c r="E54" s="62">
        <v>0</v>
      </c>
      <c r="F54" s="62">
        <v>0</v>
      </c>
      <c r="G54" s="62">
        <v>0</v>
      </c>
      <c r="H54" s="15">
        <f t="shared" si="2"/>
        <v>195000</v>
      </c>
      <c r="I54" s="532">
        <v>171926</v>
      </c>
      <c r="J54" s="536">
        <f>I54/H54</f>
        <v>0.8816717948717949</v>
      </c>
    </row>
    <row r="55" spans="1:10" ht="12" customHeight="1" thickBot="1">
      <c r="A55" s="40"/>
      <c r="B55" s="16" t="s">
        <v>79</v>
      </c>
      <c r="C55" s="17">
        <v>0</v>
      </c>
      <c r="D55" s="17">
        <v>0</v>
      </c>
      <c r="E55" s="242">
        <v>0</v>
      </c>
      <c r="F55" s="242">
        <v>0</v>
      </c>
      <c r="G55" s="242">
        <v>0</v>
      </c>
      <c r="H55" s="15">
        <f t="shared" si="2"/>
        <v>0</v>
      </c>
      <c r="I55" s="475"/>
      <c r="J55" s="491">
        <v>0</v>
      </c>
    </row>
    <row r="56" spans="1:10" ht="12" customHeight="1" thickBot="1">
      <c r="A56" s="9" t="s">
        <v>31</v>
      </c>
      <c r="B56" s="10" t="s">
        <v>32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aca="true" t="shared" si="3" ref="H56:H62">C56+D56</f>
        <v>0</v>
      </c>
      <c r="I56" s="260"/>
      <c r="J56" s="480">
        <v>0</v>
      </c>
    </row>
    <row r="57" spans="1:10" ht="12" customHeight="1" thickBot="1">
      <c r="A57" s="9" t="s">
        <v>33</v>
      </c>
      <c r="B57" s="10" t="s">
        <v>80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3"/>
        <v>0</v>
      </c>
      <c r="I57" s="260"/>
      <c r="J57" s="480">
        <v>0</v>
      </c>
    </row>
    <row r="58" spans="1:10" ht="12" customHeight="1" thickBot="1">
      <c r="A58" s="9" t="s">
        <v>34</v>
      </c>
      <c r="B58" s="10" t="s">
        <v>35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3"/>
        <v>0</v>
      </c>
      <c r="I58" s="260"/>
      <c r="J58" s="480">
        <v>0</v>
      </c>
    </row>
    <row r="59" spans="1:10" ht="12" customHeight="1" thickBot="1">
      <c r="A59" s="9"/>
      <c r="B59" s="10" t="s">
        <v>93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3"/>
        <v>0</v>
      </c>
      <c r="I59" s="260"/>
      <c r="J59" s="480">
        <v>0</v>
      </c>
    </row>
    <row r="60" spans="1:10" ht="12" customHeight="1" thickBot="1">
      <c r="A60" s="9" t="s">
        <v>36</v>
      </c>
      <c r="B60" s="10" t="s">
        <v>37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3"/>
        <v>0</v>
      </c>
      <c r="I60" s="260"/>
      <c r="J60" s="480">
        <v>0</v>
      </c>
    </row>
    <row r="61" spans="1:10" ht="12" customHeight="1" thickBot="1">
      <c r="A61" s="9"/>
      <c r="B61" s="10" t="s">
        <v>89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3"/>
        <v>0</v>
      </c>
      <c r="I61" s="260"/>
      <c r="J61" s="480">
        <v>0</v>
      </c>
    </row>
    <row r="62" spans="1:10" ht="12" customHeight="1" thickBot="1">
      <c r="A62" s="9" t="s">
        <v>38</v>
      </c>
      <c r="B62" s="10" t="s">
        <v>94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3"/>
        <v>0</v>
      </c>
      <c r="I62" s="502"/>
      <c r="J62" s="480">
        <v>0</v>
      </c>
    </row>
    <row r="63" spans="1:10" ht="12" customHeight="1" thickBot="1">
      <c r="A63" s="9" t="s">
        <v>39</v>
      </c>
      <c r="B63" s="10" t="s">
        <v>82</v>
      </c>
      <c r="C63" s="11">
        <f>SUM(C24,C38,C42,C56,C57,C58,C59,C60,C61,C62)</f>
        <v>918000</v>
      </c>
      <c r="D63" s="11">
        <f>SUM(D24,D38,D42,D56,D57,D58,D59,D60,D61,D62)</f>
        <v>0</v>
      </c>
      <c r="E63" s="11">
        <f>SUM(E24,E38,E42,E56,E57,E58,E59,E60,E61,E62)</f>
        <v>1400</v>
      </c>
      <c r="F63" s="11">
        <f>SUM(F24,F38,F42,F56,F57,F58,F59,F60,F61,F62)</f>
        <v>0</v>
      </c>
      <c r="G63" s="11">
        <f>SUM(G24,G38,G42,G56,G57,G58,G59,G60,G61,G62)</f>
        <v>40700</v>
      </c>
      <c r="H63" s="11">
        <f>C63+D63+E63+F63+G63</f>
        <v>960100</v>
      </c>
      <c r="I63" s="11">
        <f>I42</f>
        <v>861276</v>
      </c>
      <c r="J63" s="480">
        <v>0</v>
      </c>
    </row>
    <row r="64" spans="1:10" ht="12" customHeight="1" thickBot="1">
      <c r="A64" s="9" t="s">
        <v>40</v>
      </c>
      <c r="B64" s="10" t="s">
        <v>41</v>
      </c>
      <c r="C64" s="11">
        <f>SUM(C65:C65)</f>
        <v>0</v>
      </c>
      <c r="D64" s="11">
        <f>SUM(D65:D65)</f>
        <v>0</v>
      </c>
      <c r="E64" s="55">
        <v>0</v>
      </c>
      <c r="F64" s="55">
        <v>0</v>
      </c>
      <c r="G64" s="55">
        <v>0</v>
      </c>
      <c r="H64" s="11">
        <f>C64+D64+E64+F64+G64</f>
        <v>0</v>
      </c>
      <c r="I64" s="260">
        <v>0</v>
      </c>
      <c r="J64" s="480">
        <v>0</v>
      </c>
    </row>
    <row r="65" spans="1:10" ht="12" customHeight="1" hidden="1" thickBot="1">
      <c r="A65" s="40"/>
      <c r="B65" s="16" t="s">
        <v>95</v>
      </c>
      <c r="C65" s="17">
        <v>0</v>
      </c>
      <c r="D65" s="17">
        <v>0</v>
      </c>
      <c r="E65" s="242">
        <v>0</v>
      </c>
      <c r="F65" s="242">
        <v>0</v>
      </c>
      <c r="G65" s="242">
        <v>0</v>
      </c>
      <c r="H65" s="11">
        <f>C65+D65+E65+F65+G65</f>
        <v>0</v>
      </c>
      <c r="I65" s="260"/>
      <c r="J65" s="480" t="e">
        <f>I65/H65</f>
        <v>#DIV/0!</v>
      </c>
    </row>
    <row r="66" spans="1:10" ht="12" customHeight="1" thickBot="1">
      <c r="A66" s="9" t="s">
        <v>42</v>
      </c>
      <c r="B66" s="10" t="s">
        <v>43</v>
      </c>
      <c r="C66" s="11">
        <f>C63+C64</f>
        <v>918000</v>
      </c>
      <c r="D66" s="11">
        <f>D63+D64</f>
        <v>0</v>
      </c>
      <c r="E66" s="11">
        <f>E63+E64</f>
        <v>1400</v>
      </c>
      <c r="F66" s="11">
        <f>F63+F64</f>
        <v>0</v>
      </c>
      <c r="G66" s="11">
        <f>G63+G64</f>
        <v>40700</v>
      </c>
      <c r="H66" s="11">
        <f>C66+D66+E66+F66+G66</f>
        <v>960100</v>
      </c>
      <c r="I66" s="503">
        <f>I63+I64</f>
        <v>861276</v>
      </c>
      <c r="J66" s="480">
        <f>I66/H66</f>
        <v>0.8970690553067389</v>
      </c>
    </row>
    <row r="91" spans="3:11" ht="12" customHeight="1">
      <c r="C91" s="54"/>
      <c r="K91" s="54"/>
    </row>
    <row r="93" ht="12" customHeight="1">
      <c r="K93" s="54"/>
    </row>
    <row r="101" ht="12" customHeight="1">
      <c r="K101" s="54"/>
    </row>
  </sheetData>
  <sheetProtection/>
  <mergeCells count="6">
    <mergeCell ref="A6:H6"/>
    <mergeCell ref="A9:H9"/>
    <mergeCell ref="A23:H23"/>
    <mergeCell ref="B1:H1"/>
    <mergeCell ref="A3:J3"/>
    <mergeCell ref="A4:J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zoomScale="110" zoomScaleNormal="110" zoomScalePageLayoutView="0" workbookViewId="0" topLeftCell="A1">
      <selection activeCell="G66" sqref="A1:G66"/>
    </sheetView>
  </sheetViews>
  <sheetFormatPr defaultColWidth="9.140625" defaultRowHeight="12" customHeight="1"/>
  <cols>
    <col min="2" max="2" width="52.57421875" style="0" customWidth="1"/>
    <col min="3" max="3" width="7.8515625" style="0" customWidth="1"/>
    <col min="4" max="4" width="0" style="0" hidden="1" customWidth="1"/>
    <col min="5" max="5" width="8.28125" style="0" customWidth="1"/>
    <col min="6" max="6" width="7.140625" style="0" customWidth="1"/>
    <col min="7" max="7" width="6.8515625" style="0" customWidth="1"/>
  </cols>
  <sheetData>
    <row r="1" spans="1:5" ht="12" customHeight="1">
      <c r="A1" s="265">
        <f>Közvilágítás!A1+1</f>
        <v>9</v>
      </c>
      <c r="B1" s="860" t="str">
        <f>Összevont!B1</f>
        <v>. melléklet az 5/2017. (V. 26.) önkormányzati rendelethez</v>
      </c>
      <c r="C1" s="860"/>
      <c r="D1" s="860"/>
      <c r="E1" s="860"/>
    </row>
    <row r="2" spans="1:7" ht="12" customHeight="1">
      <c r="A2" s="866" t="s">
        <v>197</v>
      </c>
      <c r="B2" s="866"/>
      <c r="C2" s="866"/>
      <c r="D2" s="866"/>
      <c r="E2" s="866"/>
      <c r="F2" s="866"/>
      <c r="G2" s="866"/>
    </row>
    <row r="3" spans="1:7" ht="12" customHeight="1">
      <c r="A3" s="866" t="s">
        <v>400</v>
      </c>
      <c r="B3" s="866"/>
      <c r="C3" s="866"/>
      <c r="D3" s="866"/>
      <c r="E3" s="866"/>
      <c r="F3" s="866"/>
      <c r="G3" s="866"/>
    </row>
    <row r="4" spans="1:7" ht="12" customHeight="1">
      <c r="A4" s="725"/>
      <c r="B4" s="725"/>
      <c r="C4" s="725"/>
      <c r="D4" s="725"/>
      <c r="E4" s="725"/>
      <c r="F4" s="725"/>
      <c r="G4" s="725"/>
    </row>
    <row r="5" spans="1:5" ht="15">
      <c r="A5" s="859" t="s">
        <v>200</v>
      </c>
      <c r="B5" s="859"/>
      <c r="C5" s="859"/>
      <c r="D5" s="859"/>
      <c r="E5" s="859"/>
    </row>
    <row r="6" spans="1:7" ht="12" customHeight="1" thickBot="1">
      <c r="A6" s="7"/>
      <c r="B6" s="7"/>
      <c r="C6" s="7"/>
      <c r="D6" s="871" t="s">
        <v>363</v>
      </c>
      <c r="E6" s="871"/>
      <c r="F6" s="871"/>
      <c r="G6" s="507"/>
    </row>
    <row r="7" spans="1:7" ht="34.5" thickBot="1">
      <c r="A7" s="30" t="s">
        <v>0</v>
      </c>
      <c r="B7" s="31" t="s">
        <v>1</v>
      </c>
      <c r="C7" s="31" t="s">
        <v>322</v>
      </c>
      <c r="D7" s="31" t="s">
        <v>371</v>
      </c>
      <c r="E7" s="35" t="s">
        <v>359</v>
      </c>
      <c r="F7" s="31" t="s">
        <v>398</v>
      </c>
      <c r="G7" s="501" t="s">
        <v>399</v>
      </c>
    </row>
    <row r="8" spans="1:7" ht="12" customHeight="1" thickBot="1">
      <c r="A8" s="868" t="s">
        <v>44</v>
      </c>
      <c r="B8" s="869"/>
      <c r="C8" s="869"/>
      <c r="D8" s="869"/>
      <c r="E8" s="869"/>
      <c r="F8" s="41"/>
      <c r="G8" s="283"/>
    </row>
    <row r="9" spans="1:7" ht="12" customHeight="1" thickBot="1">
      <c r="A9" s="9" t="s">
        <v>6</v>
      </c>
      <c r="B9" s="10" t="s">
        <v>7</v>
      </c>
      <c r="C9" s="11">
        <v>0</v>
      </c>
      <c r="D9" s="11"/>
      <c r="E9" s="55">
        <f aca="true" t="shared" si="0" ref="E9:E20">C9+D9</f>
        <v>0</v>
      </c>
      <c r="F9" s="260">
        <v>0</v>
      </c>
      <c r="G9" s="483">
        <v>0</v>
      </c>
    </row>
    <row r="10" spans="1:7" ht="12" customHeight="1" thickBot="1">
      <c r="A10" s="9" t="s">
        <v>8</v>
      </c>
      <c r="B10" s="10" t="s">
        <v>45</v>
      </c>
      <c r="C10" s="11">
        <v>0</v>
      </c>
      <c r="D10" s="11"/>
      <c r="E10" s="55">
        <f t="shared" si="0"/>
        <v>0</v>
      </c>
      <c r="F10" s="260">
        <v>0</v>
      </c>
      <c r="G10" s="483">
        <v>0</v>
      </c>
    </row>
    <row r="11" spans="1:7" ht="12" customHeight="1" thickBot="1">
      <c r="A11" s="9" t="s">
        <v>9</v>
      </c>
      <c r="B11" s="10" t="s">
        <v>10</v>
      </c>
      <c r="C11" s="11">
        <v>0</v>
      </c>
      <c r="D11" s="11"/>
      <c r="E11" s="55">
        <f t="shared" si="0"/>
        <v>0</v>
      </c>
      <c r="F11" s="260">
        <v>0</v>
      </c>
      <c r="G11" s="483">
        <v>0</v>
      </c>
    </row>
    <row r="12" spans="1:7" ht="12" customHeight="1" thickBot="1">
      <c r="A12" s="9" t="s">
        <v>11</v>
      </c>
      <c r="B12" s="10" t="s">
        <v>12</v>
      </c>
      <c r="C12" s="11">
        <v>0</v>
      </c>
      <c r="D12" s="11"/>
      <c r="E12" s="55">
        <f t="shared" si="0"/>
        <v>0</v>
      </c>
      <c r="F12" s="260">
        <v>0</v>
      </c>
      <c r="G12" s="483">
        <v>0</v>
      </c>
    </row>
    <row r="13" spans="1:7" ht="12" customHeight="1" thickBot="1">
      <c r="A13" s="9" t="s">
        <v>14</v>
      </c>
      <c r="B13" s="10" t="s">
        <v>15</v>
      </c>
      <c r="C13" s="11">
        <v>0</v>
      </c>
      <c r="D13" s="11"/>
      <c r="E13" s="55">
        <f t="shared" si="0"/>
        <v>0</v>
      </c>
      <c r="F13" s="260">
        <v>0</v>
      </c>
      <c r="G13" s="483">
        <v>0</v>
      </c>
    </row>
    <row r="14" spans="1:7" ht="12" customHeight="1" thickBot="1">
      <c r="A14" s="9" t="s">
        <v>16</v>
      </c>
      <c r="B14" s="10" t="s">
        <v>17</v>
      </c>
      <c r="C14" s="11">
        <v>0</v>
      </c>
      <c r="D14" s="11"/>
      <c r="E14" s="55">
        <f t="shared" si="0"/>
        <v>0</v>
      </c>
      <c r="F14" s="260">
        <v>0</v>
      </c>
      <c r="G14" s="483">
        <v>0</v>
      </c>
    </row>
    <row r="15" spans="1:7" ht="12" customHeight="1" thickBot="1">
      <c r="A15" s="9" t="s">
        <v>18</v>
      </c>
      <c r="B15" s="10" t="s">
        <v>19</v>
      </c>
      <c r="C15" s="11">
        <v>0</v>
      </c>
      <c r="D15" s="11"/>
      <c r="E15" s="55">
        <f t="shared" si="0"/>
        <v>0</v>
      </c>
      <c r="F15" s="260">
        <v>0</v>
      </c>
      <c r="G15" s="483">
        <v>0</v>
      </c>
    </row>
    <row r="16" spans="1:7" ht="12" customHeight="1" thickBot="1">
      <c r="A16" s="9" t="s">
        <v>20</v>
      </c>
      <c r="B16" s="12" t="s">
        <v>21</v>
      </c>
      <c r="C16" s="13">
        <f>SUM(C9:C15)</f>
        <v>0</v>
      </c>
      <c r="D16" s="13">
        <f>SUM(D9:D15)</f>
        <v>0</v>
      </c>
      <c r="E16" s="56">
        <f t="shared" si="0"/>
        <v>0</v>
      </c>
      <c r="F16" s="260">
        <f>SUM(F9:F15)</f>
        <v>0</v>
      </c>
      <c r="G16" s="483">
        <v>0</v>
      </c>
    </row>
    <row r="17" spans="1:7" ht="12" customHeight="1" thickBot="1">
      <c r="A17" s="9" t="s">
        <v>23</v>
      </c>
      <c r="B17" s="10" t="s">
        <v>22</v>
      </c>
      <c r="C17" s="11">
        <f>SUM(C18:C19)</f>
        <v>0</v>
      </c>
      <c r="D17" s="11">
        <f>SUM(D18:D19)</f>
        <v>0</v>
      </c>
      <c r="E17" s="55">
        <f t="shared" si="0"/>
        <v>0</v>
      </c>
      <c r="F17" s="260">
        <f>SUM(F18:F19)</f>
        <v>0</v>
      </c>
      <c r="G17" s="483">
        <v>0</v>
      </c>
    </row>
    <row r="18" spans="1:7" ht="12" customHeight="1">
      <c r="A18" s="38"/>
      <c r="B18" s="14" t="s">
        <v>46</v>
      </c>
      <c r="C18" s="15">
        <v>0</v>
      </c>
      <c r="D18" s="15"/>
      <c r="E18" s="241">
        <f t="shared" si="0"/>
        <v>0</v>
      </c>
      <c r="F18" s="539">
        <v>0</v>
      </c>
      <c r="G18" s="540">
        <v>0</v>
      </c>
    </row>
    <row r="19" spans="1:7" ht="12" customHeight="1" thickBot="1">
      <c r="A19" s="40"/>
      <c r="B19" s="16" t="s">
        <v>47</v>
      </c>
      <c r="C19" s="17">
        <v>0</v>
      </c>
      <c r="D19" s="17"/>
      <c r="E19" s="257">
        <f t="shared" si="0"/>
        <v>0</v>
      </c>
      <c r="F19" s="541">
        <v>0</v>
      </c>
      <c r="G19" s="535">
        <v>0</v>
      </c>
    </row>
    <row r="20" spans="1:7" ht="12" customHeight="1" thickBot="1">
      <c r="A20" s="9" t="s">
        <v>24</v>
      </c>
      <c r="B20" s="10" t="s">
        <v>25</v>
      </c>
      <c r="C20" s="11">
        <f>C16+C17</f>
        <v>0</v>
      </c>
      <c r="D20" s="11">
        <f>D15+D17</f>
        <v>0</v>
      </c>
      <c r="E20" s="55">
        <f t="shared" si="0"/>
        <v>0</v>
      </c>
      <c r="F20" s="260">
        <f>F17+F16</f>
        <v>0</v>
      </c>
      <c r="G20" s="483">
        <v>0</v>
      </c>
    </row>
    <row r="21" spans="1:7" ht="12" customHeight="1" thickBot="1">
      <c r="A21" s="18"/>
      <c r="B21" s="18"/>
      <c r="C21" s="19"/>
      <c r="D21" s="19"/>
      <c r="E21" s="19"/>
      <c r="F21" s="482"/>
      <c r="G21" s="483"/>
    </row>
    <row r="22" spans="1:7" ht="12" customHeight="1" thickBot="1">
      <c r="A22" s="868" t="s">
        <v>48</v>
      </c>
      <c r="B22" s="869"/>
      <c r="C22" s="869"/>
      <c r="D22" s="869"/>
      <c r="E22" s="869"/>
      <c r="F22" s="41"/>
      <c r="G22" s="283"/>
    </row>
    <row r="23" spans="1:7" ht="12" customHeight="1" thickBot="1">
      <c r="A23" s="9" t="s">
        <v>26</v>
      </c>
      <c r="B23" s="10" t="s">
        <v>27</v>
      </c>
      <c r="C23" s="11">
        <f>SUM(C24+C33)</f>
        <v>0</v>
      </c>
      <c r="D23" s="11">
        <f>SUM(D24:D36)</f>
        <v>0</v>
      </c>
      <c r="E23" s="55">
        <f>C23+D23</f>
        <v>0</v>
      </c>
      <c r="F23" s="260">
        <f>F24+F33</f>
        <v>0</v>
      </c>
      <c r="G23" s="483">
        <v>0</v>
      </c>
    </row>
    <row r="24" spans="1:7" ht="12" customHeight="1">
      <c r="A24" s="38" t="s">
        <v>49</v>
      </c>
      <c r="B24" s="14" t="s">
        <v>50</v>
      </c>
      <c r="C24" s="15">
        <f>SUM(C25:C32)</f>
        <v>0</v>
      </c>
      <c r="D24" s="15">
        <f>SUM(D25:D32)</f>
        <v>0</v>
      </c>
      <c r="E24" s="389">
        <f>C24+D24</f>
        <v>0</v>
      </c>
      <c r="F24" s="539">
        <v>0</v>
      </c>
      <c r="G24" s="540">
        <v>0</v>
      </c>
    </row>
    <row r="25" spans="1:7" ht="12" customHeight="1">
      <c r="A25" s="34"/>
      <c r="B25" s="20" t="s">
        <v>51</v>
      </c>
      <c r="C25" s="21">
        <v>0</v>
      </c>
      <c r="D25" s="21"/>
      <c r="E25" s="389">
        <f>C25+D25</f>
        <v>0</v>
      </c>
      <c r="F25" s="532">
        <v>0</v>
      </c>
      <c r="G25" s="536">
        <v>0</v>
      </c>
    </row>
    <row r="26" spans="1:7" ht="12" customHeight="1">
      <c r="A26" s="34"/>
      <c r="B26" s="20" t="s">
        <v>52</v>
      </c>
      <c r="C26" s="21">
        <v>0</v>
      </c>
      <c r="D26" s="21"/>
      <c r="E26" s="389">
        <f>C26+D26</f>
        <v>0</v>
      </c>
      <c r="F26" s="532">
        <v>0</v>
      </c>
      <c r="G26" s="536">
        <v>0</v>
      </c>
    </row>
    <row r="27" spans="1:7" ht="12" customHeight="1">
      <c r="A27" s="34"/>
      <c r="B27" s="20" t="s">
        <v>53</v>
      </c>
      <c r="C27" s="21">
        <v>0</v>
      </c>
      <c r="D27" s="21"/>
      <c r="E27" s="389">
        <f>C27+D27</f>
        <v>0</v>
      </c>
      <c r="F27" s="532">
        <v>0</v>
      </c>
      <c r="G27" s="536">
        <v>0</v>
      </c>
    </row>
    <row r="28" spans="1:7" ht="12" customHeight="1">
      <c r="A28" s="34"/>
      <c r="B28" s="20" t="s">
        <v>196</v>
      </c>
      <c r="C28" s="21">
        <v>0</v>
      </c>
      <c r="D28" s="21"/>
      <c r="E28" s="389">
        <v>0</v>
      </c>
      <c r="F28" s="532">
        <v>0</v>
      </c>
      <c r="G28" s="536">
        <v>0</v>
      </c>
    </row>
    <row r="29" spans="1:7" ht="12" customHeight="1">
      <c r="A29" s="34"/>
      <c r="B29" s="20" t="s">
        <v>103</v>
      </c>
      <c r="C29" s="21">
        <v>0</v>
      </c>
      <c r="D29" s="21"/>
      <c r="E29" s="389">
        <f>C29+D29</f>
        <v>0</v>
      </c>
      <c r="F29" s="532">
        <v>0</v>
      </c>
      <c r="G29" s="536">
        <v>0</v>
      </c>
    </row>
    <row r="30" spans="1:7" ht="12" customHeight="1">
      <c r="A30" s="34"/>
      <c r="B30" s="20" t="s">
        <v>55</v>
      </c>
      <c r="C30" s="21">
        <v>0</v>
      </c>
      <c r="D30" s="21"/>
      <c r="E30" s="389">
        <f>C30+D30</f>
        <v>0</v>
      </c>
      <c r="F30" s="532">
        <v>0</v>
      </c>
      <c r="G30" s="536">
        <v>0</v>
      </c>
    </row>
    <row r="31" spans="1:7" ht="12" customHeight="1">
      <c r="A31" s="34"/>
      <c r="B31" s="20" t="s">
        <v>56</v>
      </c>
      <c r="C31" s="21">
        <v>0</v>
      </c>
      <c r="D31" s="21"/>
      <c r="E31" s="389">
        <f>C31+D31</f>
        <v>0</v>
      </c>
      <c r="F31" s="532">
        <v>0</v>
      </c>
      <c r="G31" s="536">
        <v>0</v>
      </c>
    </row>
    <row r="32" spans="1:7" ht="12" customHeight="1">
      <c r="A32" s="34"/>
      <c r="B32" s="20" t="s">
        <v>57</v>
      </c>
      <c r="C32" s="21">
        <v>0</v>
      </c>
      <c r="D32" s="21"/>
      <c r="E32" s="389">
        <f>C32+D32</f>
        <v>0</v>
      </c>
      <c r="F32" s="532">
        <v>0</v>
      </c>
      <c r="G32" s="536">
        <v>0</v>
      </c>
    </row>
    <row r="33" spans="1:7" ht="12" customHeight="1">
      <c r="A33" s="34" t="s">
        <v>58</v>
      </c>
      <c r="B33" s="20" t="s">
        <v>59</v>
      </c>
      <c r="C33" s="21">
        <f>SUM(C34:C36)</f>
        <v>0</v>
      </c>
      <c r="D33" s="21">
        <f>SUM(D34:D36)</f>
        <v>0</v>
      </c>
      <c r="E33" s="62">
        <f>SUM(E34:E36)</f>
        <v>0</v>
      </c>
      <c r="F33" s="532">
        <v>0</v>
      </c>
      <c r="G33" s="536">
        <v>0</v>
      </c>
    </row>
    <row r="34" spans="1:7" ht="12" customHeight="1">
      <c r="A34" s="34"/>
      <c r="B34" s="20" t="s">
        <v>60</v>
      </c>
      <c r="C34" s="21">
        <v>0</v>
      </c>
      <c r="D34" s="21"/>
      <c r="E34" s="389">
        <f aca="true" t="shared" si="1" ref="E34:E48">C34+D34</f>
        <v>0</v>
      </c>
      <c r="F34" s="532">
        <v>0</v>
      </c>
      <c r="G34" s="536">
        <v>0</v>
      </c>
    </row>
    <row r="35" spans="1:7" ht="12" customHeight="1">
      <c r="A35" s="34"/>
      <c r="B35" s="20" t="s">
        <v>85</v>
      </c>
      <c r="C35" s="21">
        <v>0</v>
      </c>
      <c r="D35" s="21"/>
      <c r="E35" s="389">
        <f t="shared" si="1"/>
        <v>0</v>
      </c>
      <c r="F35" s="21">
        <v>0</v>
      </c>
      <c r="G35" s="542">
        <v>0</v>
      </c>
    </row>
    <row r="36" spans="1:7" ht="12" customHeight="1" thickBot="1">
      <c r="A36" s="40"/>
      <c r="B36" s="16" t="s">
        <v>61</v>
      </c>
      <c r="C36" s="17">
        <v>0</v>
      </c>
      <c r="D36" s="17"/>
      <c r="E36" s="389">
        <f t="shared" si="1"/>
        <v>0</v>
      </c>
      <c r="F36" s="543">
        <v>0</v>
      </c>
      <c r="G36" s="544">
        <v>0</v>
      </c>
    </row>
    <row r="37" spans="1:7" ht="12" customHeight="1" thickBot="1">
      <c r="A37" s="9" t="s">
        <v>28</v>
      </c>
      <c r="B37" s="22" t="s">
        <v>84</v>
      </c>
      <c r="C37" s="11">
        <f>SUM(C38:C40)</f>
        <v>0</v>
      </c>
      <c r="D37" s="11">
        <f>SUM(D38:D40)</f>
        <v>0</v>
      </c>
      <c r="E37" s="55">
        <f t="shared" si="1"/>
        <v>0</v>
      </c>
      <c r="F37" s="260">
        <f>SUM(F37:F40)</f>
        <v>0</v>
      </c>
      <c r="G37" s="480">
        <v>0</v>
      </c>
    </row>
    <row r="38" spans="1:7" ht="12" customHeight="1">
      <c r="A38" s="34"/>
      <c r="B38" s="20" t="s">
        <v>62</v>
      </c>
      <c r="C38" s="15">
        <v>0</v>
      </c>
      <c r="D38" s="21"/>
      <c r="E38" s="389">
        <f t="shared" si="1"/>
        <v>0</v>
      </c>
      <c r="F38" s="533">
        <v>0</v>
      </c>
      <c r="G38" s="534">
        <v>0</v>
      </c>
    </row>
    <row r="39" spans="1:7" ht="12" customHeight="1">
      <c r="A39" s="34"/>
      <c r="B39" s="20" t="s">
        <v>63</v>
      </c>
      <c r="C39" s="21"/>
      <c r="D39" s="21"/>
      <c r="E39" s="389">
        <f t="shared" si="1"/>
        <v>0</v>
      </c>
      <c r="F39" s="532">
        <v>0</v>
      </c>
      <c r="G39" s="535">
        <v>0</v>
      </c>
    </row>
    <row r="40" spans="1:7" ht="12" customHeight="1" thickBot="1">
      <c r="A40" s="40"/>
      <c r="B40" s="16" t="s">
        <v>64</v>
      </c>
      <c r="C40" s="17"/>
      <c r="D40" s="17"/>
      <c r="E40" s="243">
        <f t="shared" si="1"/>
        <v>0</v>
      </c>
      <c r="F40" s="531">
        <v>0</v>
      </c>
      <c r="G40" s="535">
        <v>0</v>
      </c>
    </row>
    <row r="41" spans="1:7" ht="12" customHeight="1" thickBot="1">
      <c r="A41" s="9" t="s">
        <v>29</v>
      </c>
      <c r="B41" s="10" t="s">
        <v>30</v>
      </c>
      <c r="C41" s="11">
        <f>SUM(C42+C43+C44+C51+C52)</f>
        <v>0</v>
      </c>
      <c r="D41" s="11">
        <f>SUM(D42:D54)</f>
        <v>0</v>
      </c>
      <c r="E41" s="55">
        <f t="shared" si="1"/>
        <v>0</v>
      </c>
      <c r="F41" s="260">
        <f>F42+F43+F44+F51+F52</f>
        <v>0</v>
      </c>
      <c r="G41" s="483">
        <v>0</v>
      </c>
    </row>
    <row r="42" spans="1:7" ht="12" customHeight="1">
      <c r="A42" s="38" t="s">
        <v>65</v>
      </c>
      <c r="B42" s="14" t="s">
        <v>67</v>
      </c>
      <c r="C42" s="15">
        <v>0</v>
      </c>
      <c r="D42" s="15"/>
      <c r="E42" s="241">
        <f t="shared" si="1"/>
        <v>0</v>
      </c>
      <c r="F42" s="532">
        <v>0</v>
      </c>
      <c r="G42" s="536">
        <v>0</v>
      </c>
    </row>
    <row r="43" spans="1:7" ht="12" customHeight="1">
      <c r="A43" s="34" t="s">
        <v>66</v>
      </c>
      <c r="B43" s="20" t="s">
        <v>68</v>
      </c>
      <c r="C43" s="21">
        <v>0</v>
      </c>
      <c r="D43" s="21"/>
      <c r="E43" s="241">
        <f t="shared" si="1"/>
        <v>0</v>
      </c>
      <c r="F43" s="532">
        <v>0</v>
      </c>
      <c r="G43" s="536">
        <v>0</v>
      </c>
    </row>
    <row r="44" spans="1:7" ht="12" customHeight="1">
      <c r="A44" s="34" t="s">
        <v>69</v>
      </c>
      <c r="B44" s="20" t="s">
        <v>70</v>
      </c>
      <c r="C44" s="21">
        <f>SUM(C45:C50)</f>
        <v>0</v>
      </c>
      <c r="D44" s="21"/>
      <c r="E44" s="241">
        <f t="shared" si="1"/>
        <v>0</v>
      </c>
      <c r="F44" s="532">
        <f>SUM(F45:F50)</f>
        <v>0</v>
      </c>
      <c r="G44" s="536">
        <v>0</v>
      </c>
    </row>
    <row r="45" spans="1:7" ht="12" customHeight="1">
      <c r="A45" s="34"/>
      <c r="B45" s="20" t="s">
        <v>91</v>
      </c>
      <c r="C45" s="21">
        <v>0</v>
      </c>
      <c r="D45" s="21"/>
      <c r="E45" s="241">
        <f t="shared" si="1"/>
        <v>0</v>
      </c>
      <c r="F45" s="532">
        <v>0</v>
      </c>
      <c r="G45" s="536">
        <v>0</v>
      </c>
    </row>
    <row r="46" spans="1:7" ht="12" customHeight="1">
      <c r="A46" s="34"/>
      <c r="B46" s="23" t="s">
        <v>97</v>
      </c>
      <c r="C46" s="21">
        <v>0</v>
      </c>
      <c r="D46" s="21"/>
      <c r="E46" s="241">
        <f t="shared" si="1"/>
        <v>0</v>
      </c>
      <c r="F46" s="532">
        <v>0</v>
      </c>
      <c r="G46" s="536">
        <v>0</v>
      </c>
    </row>
    <row r="47" spans="1:7" ht="12" customHeight="1">
      <c r="A47" s="34"/>
      <c r="B47" s="20" t="s">
        <v>71</v>
      </c>
      <c r="C47" s="21">
        <v>0</v>
      </c>
      <c r="D47" s="21"/>
      <c r="E47" s="241">
        <f t="shared" si="1"/>
        <v>0</v>
      </c>
      <c r="F47" s="532">
        <v>0</v>
      </c>
      <c r="G47" s="536">
        <v>0</v>
      </c>
    </row>
    <row r="48" spans="1:7" ht="12" customHeight="1">
      <c r="A48" s="34"/>
      <c r="B48" s="20" t="s">
        <v>92</v>
      </c>
      <c r="C48" s="21">
        <v>0</v>
      </c>
      <c r="D48" s="21"/>
      <c r="E48" s="241">
        <f t="shared" si="1"/>
        <v>0</v>
      </c>
      <c r="F48" s="532">
        <v>0</v>
      </c>
      <c r="G48" s="536">
        <v>0</v>
      </c>
    </row>
    <row r="49" spans="1:7" ht="12" customHeight="1">
      <c r="A49" s="34"/>
      <c r="B49" s="20" t="s">
        <v>72</v>
      </c>
      <c r="C49" s="21">
        <v>0</v>
      </c>
      <c r="D49" s="21"/>
      <c r="E49" s="241">
        <f aca="true" t="shared" si="2" ref="E49:E65">C49+D49</f>
        <v>0</v>
      </c>
      <c r="F49" s="532">
        <v>0</v>
      </c>
      <c r="G49" s="536">
        <v>0</v>
      </c>
    </row>
    <row r="50" spans="1:7" ht="12" customHeight="1">
      <c r="A50" s="34"/>
      <c r="B50" s="20" t="s">
        <v>73</v>
      </c>
      <c r="C50" s="21">
        <v>0</v>
      </c>
      <c r="D50" s="21"/>
      <c r="E50" s="241">
        <f t="shared" si="2"/>
        <v>0</v>
      </c>
      <c r="F50" s="532">
        <v>0</v>
      </c>
      <c r="G50" s="536">
        <v>0</v>
      </c>
    </row>
    <row r="51" spans="1:7" ht="12" customHeight="1">
      <c r="A51" s="34" t="s">
        <v>74</v>
      </c>
      <c r="B51" s="20" t="s">
        <v>75</v>
      </c>
      <c r="C51" s="21">
        <v>0</v>
      </c>
      <c r="D51" s="21"/>
      <c r="E51" s="241">
        <f t="shared" si="2"/>
        <v>0</v>
      </c>
      <c r="F51" s="532">
        <v>0</v>
      </c>
      <c r="G51" s="536">
        <v>0</v>
      </c>
    </row>
    <row r="52" spans="1:7" ht="12" customHeight="1">
      <c r="A52" s="34" t="s">
        <v>76</v>
      </c>
      <c r="B52" s="20" t="s">
        <v>77</v>
      </c>
      <c r="C52" s="21">
        <f>SUM(C53:C54)</f>
        <v>0</v>
      </c>
      <c r="D52" s="21"/>
      <c r="E52" s="241">
        <f t="shared" si="2"/>
        <v>0</v>
      </c>
      <c r="F52" s="532">
        <f>F53+F54</f>
        <v>0</v>
      </c>
      <c r="G52" s="536">
        <v>0</v>
      </c>
    </row>
    <row r="53" spans="1:7" ht="12" customHeight="1">
      <c r="A53" s="34"/>
      <c r="B53" s="20" t="s">
        <v>87</v>
      </c>
      <c r="C53" s="21">
        <v>0</v>
      </c>
      <c r="D53" s="21"/>
      <c r="E53" s="62">
        <f t="shared" si="2"/>
        <v>0</v>
      </c>
      <c r="F53" s="532">
        <v>0</v>
      </c>
      <c r="G53" s="536">
        <v>0</v>
      </c>
    </row>
    <row r="54" spans="1:7" ht="12" customHeight="1" thickBot="1">
      <c r="A54" s="40"/>
      <c r="B54" s="16" t="s">
        <v>79</v>
      </c>
      <c r="C54" s="17">
        <v>0</v>
      </c>
      <c r="D54" s="17"/>
      <c r="E54" s="242">
        <f t="shared" si="2"/>
        <v>0</v>
      </c>
      <c r="F54" s="537">
        <v>0</v>
      </c>
      <c r="G54" s="535">
        <v>0</v>
      </c>
    </row>
    <row r="55" spans="1:7" ht="12" customHeight="1" thickBot="1">
      <c r="A55" s="9" t="s">
        <v>31</v>
      </c>
      <c r="B55" s="10" t="s">
        <v>32</v>
      </c>
      <c r="C55" s="11">
        <v>0</v>
      </c>
      <c r="D55" s="11"/>
      <c r="E55" s="55">
        <f t="shared" si="2"/>
        <v>0</v>
      </c>
      <c r="F55" s="260">
        <v>0</v>
      </c>
      <c r="G55" s="480">
        <v>0</v>
      </c>
    </row>
    <row r="56" spans="1:7" ht="12" customHeight="1" thickBot="1">
      <c r="A56" s="9" t="s">
        <v>33</v>
      </c>
      <c r="B56" s="10" t="s">
        <v>80</v>
      </c>
      <c r="C56" s="11">
        <v>0</v>
      </c>
      <c r="D56" s="11"/>
      <c r="E56" s="55">
        <f t="shared" si="2"/>
        <v>0</v>
      </c>
      <c r="F56" s="260">
        <v>0</v>
      </c>
      <c r="G56" s="480">
        <v>0</v>
      </c>
    </row>
    <row r="57" spans="1:7" ht="12" customHeight="1" thickBot="1">
      <c r="A57" s="9" t="s">
        <v>34</v>
      </c>
      <c r="B57" s="10" t="s">
        <v>35</v>
      </c>
      <c r="C57" s="11">
        <v>0</v>
      </c>
      <c r="D57" s="11"/>
      <c r="E57" s="55">
        <f t="shared" si="2"/>
        <v>0</v>
      </c>
      <c r="F57" s="260">
        <v>0</v>
      </c>
      <c r="G57" s="480">
        <v>0</v>
      </c>
    </row>
    <row r="58" spans="1:7" ht="12" customHeight="1" thickBot="1">
      <c r="A58" s="9"/>
      <c r="B58" s="10" t="s">
        <v>93</v>
      </c>
      <c r="C58" s="11">
        <v>0</v>
      </c>
      <c r="D58" s="11"/>
      <c r="E58" s="55">
        <f t="shared" si="2"/>
        <v>0</v>
      </c>
      <c r="F58" s="260">
        <v>0</v>
      </c>
      <c r="G58" s="480">
        <v>0</v>
      </c>
    </row>
    <row r="59" spans="1:7" ht="12" customHeight="1" thickBot="1">
      <c r="A59" s="9" t="s">
        <v>36</v>
      </c>
      <c r="B59" s="10" t="s">
        <v>37</v>
      </c>
      <c r="C59" s="11">
        <v>236000</v>
      </c>
      <c r="D59" s="11">
        <f>2084298+11811024</f>
        <v>13895322</v>
      </c>
      <c r="E59" s="55">
        <f t="shared" si="2"/>
        <v>14131322</v>
      </c>
      <c r="F59" s="260">
        <v>0</v>
      </c>
      <c r="G59" s="480">
        <f aca="true" t="shared" si="3" ref="G59:G65">F59/E59</f>
        <v>0</v>
      </c>
    </row>
    <row r="60" spans="1:7" ht="12" customHeight="1" thickBot="1">
      <c r="A60" s="9"/>
      <c r="B60" s="10" t="s">
        <v>89</v>
      </c>
      <c r="C60" s="11">
        <v>64000</v>
      </c>
      <c r="D60" s="11">
        <f>562761+3188976</f>
        <v>3751737</v>
      </c>
      <c r="E60" s="55">
        <f t="shared" si="2"/>
        <v>3815737</v>
      </c>
      <c r="F60" s="260">
        <v>0</v>
      </c>
      <c r="G60" s="480">
        <f t="shared" si="3"/>
        <v>0</v>
      </c>
    </row>
    <row r="61" spans="1:7" ht="12" customHeight="1" thickBot="1">
      <c r="A61" s="9" t="s">
        <v>38</v>
      </c>
      <c r="B61" s="10" t="s">
        <v>94</v>
      </c>
      <c r="C61" s="11">
        <v>0</v>
      </c>
      <c r="D61" s="11"/>
      <c r="E61" s="55">
        <f t="shared" si="2"/>
        <v>0</v>
      </c>
      <c r="F61" s="538">
        <v>0</v>
      </c>
      <c r="G61" s="480">
        <v>0</v>
      </c>
    </row>
    <row r="62" spans="1:7" ht="12" customHeight="1" thickBot="1">
      <c r="A62" s="9" t="s">
        <v>39</v>
      </c>
      <c r="B62" s="10" t="s">
        <v>82</v>
      </c>
      <c r="C62" s="11">
        <f>SUM(C23,C37,C41,C55,C56,C57,C58,C59,C60,C61)</f>
        <v>300000</v>
      </c>
      <c r="D62" s="11">
        <f>D60+D59</f>
        <v>17647059</v>
      </c>
      <c r="E62" s="55">
        <f t="shared" si="2"/>
        <v>17947059</v>
      </c>
      <c r="F62" s="260">
        <f>F61+F60+F59+F57+F58+F56+F55+F41+F37+F1+F23</f>
        <v>0</v>
      </c>
      <c r="G62" s="480">
        <v>0</v>
      </c>
    </row>
    <row r="63" spans="1:7" ht="12" customHeight="1" thickBot="1">
      <c r="A63" s="9" t="s">
        <v>40</v>
      </c>
      <c r="B63" s="10" t="s">
        <v>41</v>
      </c>
      <c r="C63" s="11">
        <f>SUM(C64:C64)</f>
        <v>0</v>
      </c>
      <c r="D63" s="11">
        <f>SUM(D64:D64)</f>
        <v>0</v>
      </c>
      <c r="E63" s="55">
        <f t="shared" si="2"/>
        <v>0</v>
      </c>
      <c r="F63" s="260">
        <v>0</v>
      </c>
      <c r="G63" s="480">
        <v>0</v>
      </c>
    </row>
    <row r="64" spans="1:7" ht="12" customHeight="1" hidden="1" thickBot="1">
      <c r="A64" s="40"/>
      <c r="B64" s="16" t="s">
        <v>95</v>
      </c>
      <c r="C64" s="17"/>
      <c r="D64" s="17"/>
      <c r="E64" s="243">
        <f t="shared" si="2"/>
        <v>0</v>
      </c>
      <c r="F64" s="260"/>
      <c r="G64" s="480" t="e">
        <f t="shared" si="3"/>
        <v>#DIV/0!</v>
      </c>
    </row>
    <row r="65" spans="1:7" ht="12" customHeight="1" thickBot="1">
      <c r="A65" s="9" t="s">
        <v>42</v>
      </c>
      <c r="B65" s="10" t="s">
        <v>43</v>
      </c>
      <c r="C65" s="11">
        <f>C62+C63</f>
        <v>300000</v>
      </c>
      <c r="D65" s="11">
        <f>D62</f>
        <v>17647059</v>
      </c>
      <c r="E65" s="55">
        <f t="shared" si="2"/>
        <v>17947059</v>
      </c>
      <c r="F65" s="503">
        <f>F62+F63</f>
        <v>0</v>
      </c>
      <c r="G65" s="480">
        <f t="shared" si="3"/>
        <v>0</v>
      </c>
    </row>
    <row r="90" spans="3:8" ht="12" customHeight="1">
      <c r="C90" s="54"/>
      <c r="H90" s="54"/>
    </row>
    <row r="92" ht="12" customHeight="1">
      <c r="H92" s="54"/>
    </row>
    <row r="100" ht="12" customHeight="1">
      <c r="H100" s="54"/>
    </row>
  </sheetData>
  <sheetProtection/>
  <mergeCells count="7">
    <mergeCell ref="B1:E1"/>
    <mergeCell ref="A5:E5"/>
    <mergeCell ref="A8:E8"/>
    <mergeCell ref="A22:E22"/>
    <mergeCell ref="A2:G2"/>
    <mergeCell ref="A3:G3"/>
    <mergeCell ref="D6:F6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27.57421875" style="0" customWidth="1"/>
    <col min="6" max="6" width="11.57421875" style="0" bestFit="1" customWidth="1"/>
  </cols>
  <sheetData>
    <row r="1" spans="1:5" ht="15">
      <c r="A1">
        <f>Közvilágítás!A1+2</f>
        <v>10</v>
      </c>
      <c r="B1" s="845">
        <f>Ovi!B2</f>
        <v>0</v>
      </c>
      <c r="C1" s="845"/>
      <c r="D1" s="845"/>
      <c r="E1" s="845"/>
    </row>
    <row r="2" spans="1:8" ht="15">
      <c r="A2" s="878" t="s">
        <v>332</v>
      </c>
      <c r="B2" s="878"/>
      <c r="C2" s="878"/>
      <c r="D2" s="878"/>
      <c r="E2" s="878"/>
      <c r="F2" s="878"/>
      <c r="G2" s="878"/>
      <c r="H2" s="878"/>
    </row>
    <row r="3" spans="1:8" ht="15">
      <c r="A3" s="878" t="s">
        <v>195</v>
      </c>
      <c r="B3" s="878"/>
      <c r="C3" s="878"/>
      <c r="D3" s="878"/>
      <c r="E3" s="878"/>
      <c r="F3" s="878"/>
      <c r="G3" s="878"/>
      <c r="H3" s="878"/>
    </row>
    <row r="4" spans="1:6" ht="15.75" thickBot="1">
      <c r="A4" s="127"/>
      <c r="B4" s="127"/>
      <c r="C4" s="127"/>
      <c r="D4" s="127"/>
      <c r="E4" s="127"/>
      <c r="F4" s="127"/>
    </row>
    <row r="5" spans="1:6" ht="26.25" thickBot="1">
      <c r="A5" s="128" t="s">
        <v>274</v>
      </c>
      <c r="B5" s="129" t="s">
        <v>213</v>
      </c>
      <c r="C5" s="872" t="s">
        <v>275</v>
      </c>
      <c r="D5" s="873"/>
      <c r="E5" s="129" t="s">
        <v>276</v>
      </c>
      <c r="F5" s="130" t="s">
        <v>277</v>
      </c>
    </row>
    <row r="6" spans="1:6" ht="42.75">
      <c r="A6" s="131"/>
      <c r="B6" s="132" t="s">
        <v>278</v>
      </c>
      <c r="C6" s="874" t="s">
        <v>96</v>
      </c>
      <c r="D6" s="875"/>
      <c r="E6" s="133" t="s">
        <v>96</v>
      </c>
      <c r="F6" s="134">
        <f>F7+F8+F13+F14+F15-F16</f>
        <v>7775803</v>
      </c>
    </row>
    <row r="7" spans="1:6" ht="25.5">
      <c r="A7" s="135">
        <v>1</v>
      </c>
      <c r="B7" s="136" t="s">
        <v>279</v>
      </c>
      <c r="C7" s="137">
        <f>'[1]I. helyi önk. ált. támogatás'!C5</f>
        <v>0</v>
      </c>
      <c r="D7" s="138" t="s">
        <v>280</v>
      </c>
      <c r="E7" s="139">
        <f>'[1]I. helyi önk. ált. támogatás'!B4</f>
        <v>4580000</v>
      </c>
      <c r="F7" s="140">
        <f>E7*C7</f>
        <v>0</v>
      </c>
    </row>
    <row r="8" spans="1:6" ht="38.25">
      <c r="A8" s="135">
        <v>2</v>
      </c>
      <c r="B8" s="136" t="s">
        <v>281</v>
      </c>
      <c r="C8" s="876" t="s">
        <v>96</v>
      </c>
      <c r="D8" s="877"/>
      <c r="E8" s="139" t="s">
        <v>96</v>
      </c>
      <c r="F8" s="140">
        <f>F9+F10+F11+F12</f>
        <v>2847280</v>
      </c>
    </row>
    <row r="9" spans="1:6" ht="15">
      <c r="A9" s="135" t="s">
        <v>96</v>
      </c>
      <c r="B9" s="136" t="s">
        <v>282</v>
      </c>
      <c r="C9" s="141">
        <f>'[1]I. helyi önk. ált. támogatás'!B21</f>
        <v>46.8</v>
      </c>
      <c r="D9" s="142" t="s">
        <v>283</v>
      </c>
      <c r="E9" s="139">
        <f>'[1]I. helyi önk. ált. támogatás'!B20</f>
        <v>22300</v>
      </c>
      <c r="F9" s="140">
        <f>E9*C9</f>
        <v>1043639.9999999999</v>
      </c>
    </row>
    <row r="10" spans="1:6" ht="15">
      <c r="A10" s="135" t="s">
        <v>96</v>
      </c>
      <c r="B10" s="136" t="s">
        <v>284</v>
      </c>
      <c r="C10" s="141">
        <f>'[1]I. helyi önk. ált. támogatás'!B24</f>
        <v>4.7</v>
      </c>
      <c r="D10" s="142" t="s">
        <v>285</v>
      </c>
      <c r="E10" s="139">
        <f>'[1]I. helyi önk. ált. támogatás'!B23</f>
        <v>320000</v>
      </c>
      <c r="F10" s="140">
        <f>E10*C10</f>
        <v>1504000</v>
      </c>
    </row>
    <row r="11" spans="1:6" ht="15">
      <c r="A11" s="135" t="s">
        <v>96</v>
      </c>
      <c r="B11" s="136" t="s">
        <v>286</v>
      </c>
      <c r="C11" s="143" t="s">
        <v>96</v>
      </c>
      <c r="D11" s="142"/>
      <c r="E11" s="144" t="s">
        <v>96</v>
      </c>
      <c r="F11" s="140"/>
    </row>
    <row r="12" spans="1:6" ht="15">
      <c r="A12" s="135" t="s">
        <v>96</v>
      </c>
      <c r="B12" s="136" t="s">
        <v>287</v>
      </c>
      <c r="C12" s="143">
        <f>'[1]I. helyi önk. ált. támogatás'!B30</f>
        <v>1.32</v>
      </c>
      <c r="D12" s="142" t="s">
        <v>285</v>
      </c>
      <c r="E12" s="139">
        <f>'[1]I. helyi önk. ált. támogatás'!B29</f>
        <v>227000</v>
      </c>
      <c r="F12" s="140">
        <f>E12*C12</f>
        <v>299640</v>
      </c>
    </row>
    <row r="13" spans="1:6" ht="15">
      <c r="A13" s="135">
        <v>3</v>
      </c>
      <c r="B13" s="136" t="s">
        <v>288</v>
      </c>
      <c r="C13" s="143">
        <f>'[1]I. helyi önk. ált. támogatás'!B35</f>
        <v>352</v>
      </c>
      <c r="D13" s="142" t="s">
        <v>280</v>
      </c>
      <c r="E13" s="139">
        <f>'[1]I. helyi önk. ált. támogatás'!B34</f>
        <v>2700</v>
      </c>
      <c r="F13" s="140">
        <v>4869873</v>
      </c>
    </row>
    <row r="14" spans="1:6" ht="15">
      <c r="A14" s="135">
        <v>4</v>
      </c>
      <c r="B14" s="145" t="s">
        <v>289</v>
      </c>
      <c r="C14" s="143">
        <f>'[1]I. helyi önk. ált. támogatás'!B39</f>
        <v>23</v>
      </c>
      <c r="D14" s="142" t="s">
        <v>280</v>
      </c>
      <c r="E14" s="139">
        <f>'[1]I. helyi önk. ált. támogatás'!B38</f>
        <v>2550</v>
      </c>
      <c r="F14" s="140">
        <f>C14*E14</f>
        <v>58650</v>
      </c>
    </row>
    <row r="15" spans="1:6" ht="15">
      <c r="A15" s="135">
        <v>5</v>
      </c>
      <c r="B15" s="136" t="s">
        <v>290</v>
      </c>
      <c r="C15" s="146">
        <f>'[1]I. helyi önk. ált. támogatás'!B43</f>
        <v>0</v>
      </c>
      <c r="D15" s="147" t="s">
        <v>291</v>
      </c>
      <c r="E15" s="148">
        <f>'[1]I. helyi önk. ált. támogatás'!B42</f>
        <v>1.55</v>
      </c>
      <c r="F15" s="140">
        <f>E15*C15</f>
        <v>0</v>
      </c>
    </row>
    <row r="16" spans="1:6" ht="15">
      <c r="A16" s="135">
        <v>6</v>
      </c>
      <c r="B16" s="136" t="s">
        <v>292</v>
      </c>
      <c r="C16" s="146"/>
      <c r="D16" s="147"/>
      <c r="E16" s="148"/>
      <c r="F16" s="140"/>
    </row>
    <row r="17" spans="1:6" ht="28.5">
      <c r="A17" s="149" t="s">
        <v>96</v>
      </c>
      <c r="B17" s="150" t="s">
        <v>293</v>
      </c>
      <c r="C17" s="151" t="s">
        <v>96</v>
      </c>
      <c r="D17" s="152"/>
      <c r="E17" s="153"/>
      <c r="F17" s="154">
        <f>SUM(F18:F22)</f>
        <v>9027733</v>
      </c>
    </row>
    <row r="18" spans="1:6" ht="15">
      <c r="A18" s="135">
        <v>7</v>
      </c>
      <c r="B18" s="136" t="s">
        <v>294</v>
      </c>
      <c r="C18" s="141">
        <f>'[1]II. Köznev. feladat támogatása'!C9</f>
        <v>1.4</v>
      </c>
      <c r="D18" s="142" t="s">
        <v>280</v>
      </c>
      <c r="E18" s="139">
        <f>'[1]II. Köznev. feladat támogatása'!E4</f>
        <v>4308000</v>
      </c>
      <c r="F18" s="140">
        <f>4020800+2297600+56000</f>
        <v>6374400</v>
      </c>
    </row>
    <row r="19" spans="1:6" ht="25.5">
      <c r="A19" s="135">
        <v>8</v>
      </c>
      <c r="B19" s="136" t="s">
        <v>295</v>
      </c>
      <c r="C19" s="143">
        <v>1</v>
      </c>
      <c r="D19" s="142" t="s">
        <v>280</v>
      </c>
      <c r="E19" s="139">
        <f>'[1]II. Köznev. feladat támogatása'!E5</f>
        <v>1800000</v>
      </c>
      <c r="F19" s="140">
        <f>1200000+600000</f>
        <v>1800000</v>
      </c>
    </row>
    <row r="20" spans="1:6" ht="15">
      <c r="A20" s="135">
        <v>9</v>
      </c>
      <c r="B20" s="136" t="s">
        <v>296</v>
      </c>
      <c r="C20" s="143">
        <f>'[1]II. Köznev. feladat támogatása'!C38</f>
        <v>10</v>
      </c>
      <c r="D20" s="142" t="s">
        <v>280</v>
      </c>
      <c r="E20" s="139">
        <f>'[1]II. Köznev. feladat támogatása'!C37</f>
        <v>70000</v>
      </c>
      <c r="F20" s="140">
        <f>533333+320000</f>
        <v>853333</v>
      </c>
    </row>
    <row r="21" spans="1:6" ht="25.5">
      <c r="A21" s="135">
        <v>10</v>
      </c>
      <c r="B21" s="136" t="s">
        <v>297</v>
      </c>
      <c r="C21" s="143"/>
      <c r="D21" s="142"/>
      <c r="E21" s="139"/>
      <c r="F21" s="140">
        <f>'[1]II. Köznev. feladat támogatása'!E41</f>
        <v>0</v>
      </c>
    </row>
    <row r="22" spans="1:6" ht="51">
      <c r="A22" s="135">
        <v>11</v>
      </c>
      <c r="B22" s="136" t="s">
        <v>298</v>
      </c>
      <c r="C22" s="143">
        <f>'[1]II. Köznev. feladat támogatása'!C46</f>
        <v>0</v>
      </c>
      <c r="D22" s="142" t="s">
        <v>280</v>
      </c>
      <c r="E22" s="139">
        <f>'[1]II. Köznev. feladat támogatása'!C45</f>
        <v>384000</v>
      </c>
      <c r="F22" s="140">
        <f>E22*C22</f>
        <v>0</v>
      </c>
    </row>
    <row r="23" spans="1:6" ht="42.75">
      <c r="A23" s="149"/>
      <c r="B23" s="150" t="s">
        <v>299</v>
      </c>
      <c r="C23" s="155" t="s">
        <v>96</v>
      </c>
      <c r="D23" s="152"/>
      <c r="E23" s="153" t="s">
        <v>96</v>
      </c>
      <c r="F23" s="154">
        <f>F24+F25+F26+F33+F34</f>
        <v>4912256</v>
      </c>
    </row>
    <row r="24" spans="1:6" ht="25.5">
      <c r="A24" s="135">
        <v>12</v>
      </c>
      <c r="B24" s="136" t="s">
        <v>300</v>
      </c>
      <c r="C24" s="156" t="s">
        <v>96</v>
      </c>
      <c r="D24" s="142"/>
      <c r="E24" s="139"/>
      <c r="F24" s="140">
        <f>'[1]III. szoc. gyermek jó-étk. tám.'!D3</f>
        <v>0</v>
      </c>
    </row>
    <row r="25" spans="1:6" ht="25.5">
      <c r="A25" s="135">
        <v>13</v>
      </c>
      <c r="B25" s="136" t="s">
        <v>301</v>
      </c>
      <c r="C25" s="156"/>
      <c r="D25" s="142"/>
      <c r="E25" s="139"/>
      <c r="F25" s="140">
        <v>4011879</v>
      </c>
    </row>
    <row r="26" spans="1:6" ht="25.5">
      <c r="A26" s="135">
        <v>14</v>
      </c>
      <c r="B26" s="136" t="s">
        <v>302</v>
      </c>
      <c r="C26" s="156" t="s">
        <v>96</v>
      </c>
      <c r="D26" s="142"/>
      <c r="E26" s="139"/>
      <c r="F26" s="140">
        <f>'[1]III. szoc. gyermek jó-étk. tám.'!D7</f>
        <v>0</v>
      </c>
    </row>
    <row r="27" spans="1:6" ht="25.5">
      <c r="A27" s="135"/>
      <c r="B27" s="136" t="s">
        <v>303</v>
      </c>
      <c r="C27" s="156"/>
      <c r="D27" s="142"/>
      <c r="E27" s="139"/>
      <c r="F27" s="140">
        <f>'[1]III. szoc. gyermek jó-étk. tám.'!D8</f>
        <v>0</v>
      </c>
    </row>
    <row r="28" spans="1:6" ht="25.5">
      <c r="A28" s="135"/>
      <c r="B28" s="136" t="s">
        <v>304</v>
      </c>
      <c r="C28" s="156"/>
      <c r="D28" s="142"/>
      <c r="E28" s="139"/>
      <c r="F28" s="140">
        <f>'[1]III. szoc. gyermek jó-étk. tám.'!D14</f>
        <v>0</v>
      </c>
    </row>
    <row r="29" spans="1:6" ht="15">
      <c r="A29" s="135"/>
      <c r="B29" s="136" t="s">
        <v>305</v>
      </c>
      <c r="C29" s="156">
        <f>'[1]III. szoc. gyermek jó-étk. tám.'!C23</f>
        <v>0</v>
      </c>
      <c r="D29" s="142" t="s">
        <v>280</v>
      </c>
      <c r="E29" s="139">
        <f>'[1]III. szoc. gyermek jó-étk. tám.'!C22</f>
        <v>55360</v>
      </c>
      <c r="F29" s="157">
        <f>E29*C29</f>
        <v>0</v>
      </c>
    </row>
    <row r="30" spans="1:6" ht="15">
      <c r="A30" s="135"/>
      <c r="B30" s="136" t="s">
        <v>306</v>
      </c>
      <c r="C30" s="156">
        <f>'[1]III. szoc. gyermek jó-étk. tám.'!C27</f>
        <v>0</v>
      </c>
      <c r="D30" s="142" t="s">
        <v>280</v>
      </c>
      <c r="E30" s="139">
        <f>'[1]III. szoc. gyermek jó-étk. tám.'!C26</f>
        <v>145000</v>
      </c>
      <c r="F30" s="157">
        <f>E30*C30</f>
        <v>0</v>
      </c>
    </row>
    <row r="31" spans="1:6" ht="25.5">
      <c r="A31" s="135"/>
      <c r="B31" s="136" t="s">
        <v>307</v>
      </c>
      <c r="C31" s="156">
        <f>'[1]III. szoc. gyermek jó-étk. tám.'!G30</f>
        <v>0</v>
      </c>
      <c r="D31" s="147" t="s">
        <v>280</v>
      </c>
      <c r="E31" s="139"/>
      <c r="F31" s="157">
        <f>'[1]III. szoc. gyermek jó-étk. tám.'!G29</f>
        <v>0</v>
      </c>
    </row>
    <row r="32" spans="1:6" ht="15">
      <c r="A32" s="135"/>
      <c r="B32" s="136" t="s">
        <v>308</v>
      </c>
      <c r="C32" s="156">
        <f>'[1]III. szoc. gyermek jó-étk. tám.'!C39</f>
        <v>0</v>
      </c>
      <c r="D32" s="142" t="s">
        <v>280</v>
      </c>
      <c r="E32" s="139">
        <f>'[1]III. szoc. gyermek jó-étk. tám.'!C38</f>
        <v>494100</v>
      </c>
      <c r="F32" s="140">
        <f>E32*C32</f>
        <v>0</v>
      </c>
    </row>
    <row r="33" spans="1:6" ht="25.5">
      <c r="A33" s="135">
        <v>15</v>
      </c>
      <c r="B33" s="136" t="s">
        <v>309</v>
      </c>
      <c r="C33" s="156"/>
      <c r="D33" s="142"/>
      <c r="E33" s="139"/>
      <c r="F33" s="157">
        <f>'[1]III. szoc. gyermek jó-étk. tám.'!D41</f>
        <v>0</v>
      </c>
    </row>
    <row r="34" spans="1:6" ht="15">
      <c r="A34" s="135">
        <v>16</v>
      </c>
      <c r="B34" s="158" t="s">
        <v>310</v>
      </c>
      <c r="C34" s="156">
        <f>'[1]III. szoc. gyermek jó-étk. tám.'!C55</f>
        <v>800</v>
      </c>
      <c r="D34" s="147" t="s">
        <v>280</v>
      </c>
      <c r="E34" s="139"/>
      <c r="F34" s="157">
        <f>456960+243917+199500</f>
        <v>900377</v>
      </c>
    </row>
    <row r="35" spans="1:6" ht="29.25" thickBot="1">
      <c r="A35" s="149"/>
      <c r="B35" s="159" t="s">
        <v>311</v>
      </c>
      <c r="C35" s="156">
        <f>'[1]IV. kulturális támogatás'!C5</f>
        <v>352</v>
      </c>
      <c r="D35" s="147" t="s">
        <v>280</v>
      </c>
      <c r="E35" s="139">
        <f>'[1]IV. kulturális támogatás'!C4</f>
        <v>1140</v>
      </c>
      <c r="F35" s="154">
        <f>'[1]IV. kulturális támogatás'!G1</f>
        <v>1200000</v>
      </c>
    </row>
    <row r="36" spans="1:6" ht="16.5" thickBot="1">
      <c r="A36" s="160" t="s">
        <v>96</v>
      </c>
      <c r="B36" s="161" t="s">
        <v>312</v>
      </c>
      <c r="C36" s="162"/>
      <c r="D36" s="163"/>
      <c r="E36" s="164"/>
      <c r="F36" s="165">
        <f>F35+F23+F17+F6</f>
        <v>22915792</v>
      </c>
    </row>
  </sheetData>
  <sheetProtection/>
  <mergeCells count="6">
    <mergeCell ref="C5:D5"/>
    <mergeCell ref="C6:D6"/>
    <mergeCell ref="C8:D8"/>
    <mergeCell ref="B1:E1"/>
    <mergeCell ref="A2:H2"/>
    <mergeCell ref="A3:H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K68" sqref="A1:K68"/>
    </sheetView>
  </sheetViews>
  <sheetFormatPr defaultColWidth="9.140625" defaultRowHeight="15"/>
  <cols>
    <col min="2" max="2" width="56.7109375" style="0" bestFit="1" customWidth="1"/>
    <col min="3" max="4" width="0" style="0" hidden="1" customWidth="1"/>
    <col min="6" max="6" width="0" style="0" hidden="1" customWidth="1"/>
    <col min="7" max="8" width="9.140625" style="0" hidden="1" customWidth="1"/>
    <col min="9" max="9" width="9.140625" style="0" customWidth="1"/>
    <col min="11" max="11" width="9.7109375" style="0" bestFit="1" customWidth="1"/>
  </cols>
  <sheetData>
    <row r="1" spans="1:9" ht="15">
      <c r="A1" s="265">
        <f>Közút!A1+1</f>
        <v>10</v>
      </c>
      <c r="B1" s="265" t="str">
        <f>Összevont!B1</f>
        <v>. melléklet az 5/2017. (V. 26.) önkormányzati rendelethez</v>
      </c>
      <c r="C1" s="265"/>
      <c r="D1" s="265"/>
      <c r="E1" s="265"/>
      <c r="F1" s="265"/>
      <c r="G1" s="265"/>
      <c r="H1" s="265"/>
      <c r="I1" s="265"/>
    </row>
    <row r="2" spans="1:9" ht="15">
      <c r="A2" s="277"/>
      <c r="B2" s="860"/>
      <c r="C2" s="860"/>
      <c r="D2" s="860"/>
      <c r="E2" s="860"/>
      <c r="F2" s="860"/>
      <c r="G2" s="860"/>
      <c r="H2" s="860"/>
      <c r="I2" s="860"/>
    </row>
    <row r="3" spans="1:11" ht="15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</row>
    <row r="4" spans="1:11" ht="15" customHeight="1">
      <c r="A4" s="866" t="str">
        <f>Összevont!A4</f>
        <v>2016. évi zárszámadás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11" ht="15" customHeight="1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</row>
    <row r="6" spans="1:5" ht="15">
      <c r="A6" s="859" t="s">
        <v>375</v>
      </c>
      <c r="B6" s="859"/>
      <c r="C6" s="859"/>
      <c r="D6" s="859"/>
      <c r="E6" s="859"/>
    </row>
    <row r="7" spans="1:10" ht="15.75" thickBot="1">
      <c r="A7" s="7"/>
      <c r="B7" s="7"/>
      <c r="C7" s="7"/>
      <c r="D7" s="7"/>
      <c r="G7" s="302" t="s">
        <v>363</v>
      </c>
      <c r="I7" s="278"/>
      <c r="J7" s="278" t="s">
        <v>363</v>
      </c>
    </row>
    <row r="8" spans="1:11" ht="34.5" thickBot="1">
      <c r="A8" s="237" t="s">
        <v>0</v>
      </c>
      <c r="B8" s="238" t="s">
        <v>1</v>
      </c>
      <c r="C8" s="238" t="s">
        <v>2</v>
      </c>
      <c r="D8" s="238" t="s">
        <v>3</v>
      </c>
      <c r="E8" s="238" t="s">
        <v>322</v>
      </c>
      <c r="F8" s="239" t="s">
        <v>3</v>
      </c>
      <c r="G8" s="240" t="s">
        <v>359</v>
      </c>
      <c r="H8" s="284" t="s">
        <v>358</v>
      </c>
      <c r="I8" s="431" t="s">
        <v>359</v>
      </c>
      <c r="J8" s="31" t="s">
        <v>398</v>
      </c>
      <c r="K8" s="501" t="s">
        <v>399</v>
      </c>
    </row>
    <row r="9" spans="1:11" ht="12" customHeight="1" thickBot="1">
      <c r="A9" s="282" t="s">
        <v>44</v>
      </c>
      <c r="B9" s="41"/>
      <c r="C9" s="41"/>
      <c r="D9" s="41"/>
      <c r="E9" s="41"/>
      <c r="F9" s="41"/>
      <c r="G9" s="283"/>
      <c r="H9" s="282"/>
      <c r="I9" s="41"/>
      <c r="J9" s="41"/>
      <c r="K9" s="283"/>
    </row>
    <row r="10" spans="1:11" ht="12" customHeight="1" thickBot="1">
      <c r="A10" s="9" t="s">
        <v>6</v>
      </c>
      <c r="B10" s="10" t="s">
        <v>7</v>
      </c>
      <c r="C10" s="11"/>
      <c r="D10" s="11">
        <v>0</v>
      </c>
      <c r="E10" s="11">
        <v>0</v>
      </c>
      <c r="F10" s="252"/>
      <c r="G10" s="247"/>
      <c r="H10" s="279"/>
      <c r="I10" s="424">
        <v>0</v>
      </c>
      <c r="J10" s="260">
        <v>0</v>
      </c>
      <c r="K10" s="483">
        <v>0</v>
      </c>
    </row>
    <row r="11" spans="1:11" ht="12" customHeight="1" thickBot="1">
      <c r="A11" s="9" t="s">
        <v>8</v>
      </c>
      <c r="B11" s="10" t="s">
        <v>45</v>
      </c>
      <c r="C11" s="11">
        <v>0</v>
      </c>
      <c r="D11" s="11">
        <v>0</v>
      </c>
      <c r="E11" s="11">
        <v>0</v>
      </c>
      <c r="F11" s="252"/>
      <c r="G11" s="247"/>
      <c r="H11" s="279"/>
      <c r="I11" s="424">
        <v>0</v>
      </c>
      <c r="J11" s="260">
        <v>0</v>
      </c>
      <c r="K11" s="483">
        <v>0</v>
      </c>
    </row>
    <row r="12" spans="1:11" ht="12" customHeight="1" thickBot="1">
      <c r="A12" s="9" t="s">
        <v>9</v>
      </c>
      <c r="B12" s="10" t="s">
        <v>10</v>
      </c>
      <c r="C12" s="11">
        <v>0</v>
      </c>
      <c r="D12" s="11">
        <v>0</v>
      </c>
      <c r="E12" s="11">
        <v>0</v>
      </c>
      <c r="F12" s="252"/>
      <c r="G12" s="247"/>
      <c r="H12" s="279"/>
      <c r="I12" s="424">
        <v>0</v>
      </c>
      <c r="J12" s="260">
        <v>0</v>
      </c>
      <c r="K12" s="483">
        <v>0</v>
      </c>
    </row>
    <row r="13" spans="1:11" ht="12" customHeight="1" thickBot="1">
      <c r="A13" s="9" t="s">
        <v>11</v>
      </c>
      <c r="B13" s="10" t="s">
        <v>12</v>
      </c>
      <c r="C13" s="11">
        <v>0</v>
      </c>
      <c r="D13" s="11">
        <v>0</v>
      </c>
      <c r="E13" s="11">
        <v>0</v>
      </c>
      <c r="F13" s="252"/>
      <c r="G13" s="247"/>
      <c r="H13" s="279"/>
      <c r="I13" s="424">
        <v>0</v>
      </c>
      <c r="J13" s="260">
        <v>0</v>
      </c>
      <c r="K13" s="483">
        <v>0</v>
      </c>
    </row>
    <row r="14" spans="1:11" ht="12" customHeight="1" thickBot="1">
      <c r="A14" s="9" t="s">
        <v>14</v>
      </c>
      <c r="B14" s="10" t="s">
        <v>15</v>
      </c>
      <c r="C14" s="11">
        <v>0</v>
      </c>
      <c r="D14" s="11">
        <v>0</v>
      </c>
      <c r="E14" s="11">
        <v>0</v>
      </c>
      <c r="F14" s="252"/>
      <c r="G14" s="247"/>
      <c r="H14" s="279"/>
      <c r="I14" s="424">
        <v>0</v>
      </c>
      <c r="J14" s="260">
        <v>0</v>
      </c>
      <c r="K14" s="483">
        <v>0</v>
      </c>
    </row>
    <row r="15" spans="1:11" ht="12" customHeight="1" thickBot="1">
      <c r="A15" s="9" t="s">
        <v>16</v>
      </c>
      <c r="B15" s="10" t="s">
        <v>17</v>
      </c>
      <c r="C15" s="11">
        <v>0</v>
      </c>
      <c r="D15" s="11">
        <v>0</v>
      </c>
      <c r="E15" s="11">
        <v>0</v>
      </c>
      <c r="F15" s="252"/>
      <c r="G15" s="247"/>
      <c r="H15" s="279"/>
      <c r="I15" s="424">
        <v>0</v>
      </c>
      <c r="J15" s="260">
        <v>0</v>
      </c>
      <c r="K15" s="483">
        <v>0</v>
      </c>
    </row>
    <row r="16" spans="1:11" ht="12" customHeight="1" thickBot="1">
      <c r="A16" s="9" t="s">
        <v>18</v>
      </c>
      <c r="B16" s="10" t="s">
        <v>19</v>
      </c>
      <c r="C16" s="11">
        <v>0</v>
      </c>
      <c r="D16" s="11">
        <v>0</v>
      </c>
      <c r="E16" s="11">
        <v>0</v>
      </c>
      <c r="F16" s="252"/>
      <c r="G16" s="247"/>
      <c r="H16" s="279"/>
      <c r="I16" s="424">
        <v>0</v>
      </c>
      <c r="J16" s="260">
        <v>0</v>
      </c>
      <c r="K16" s="483">
        <v>0</v>
      </c>
    </row>
    <row r="17" spans="1:11" ht="12" customHeight="1" thickBot="1">
      <c r="A17" s="9" t="s">
        <v>20</v>
      </c>
      <c r="B17" s="12" t="s">
        <v>21</v>
      </c>
      <c r="C17" s="13">
        <f>SUM(C10:C16)</f>
        <v>0</v>
      </c>
      <c r="D17" s="13">
        <f>SUM(D10:D16)</f>
        <v>0</v>
      </c>
      <c r="E17" s="11">
        <v>0</v>
      </c>
      <c r="F17" s="252"/>
      <c r="G17" s="247"/>
      <c r="H17" s="279"/>
      <c r="I17" s="424">
        <v>0</v>
      </c>
      <c r="J17" s="260">
        <v>0</v>
      </c>
      <c r="K17" s="483">
        <v>0</v>
      </c>
    </row>
    <row r="18" spans="1:11" ht="12" customHeight="1" thickBot="1">
      <c r="A18" s="9" t="s">
        <v>23</v>
      </c>
      <c r="B18" s="10" t="s">
        <v>22</v>
      </c>
      <c r="C18" s="11">
        <f>SUM(C19:C20)</f>
        <v>7866</v>
      </c>
      <c r="D18" s="11">
        <f>SUM(D19:D20)</f>
        <v>0</v>
      </c>
      <c r="E18" s="11">
        <v>0</v>
      </c>
      <c r="F18" s="252"/>
      <c r="G18" s="247"/>
      <c r="H18" s="279"/>
      <c r="I18" s="424">
        <v>0</v>
      </c>
      <c r="J18" s="260">
        <v>0</v>
      </c>
      <c r="K18" s="483">
        <v>0</v>
      </c>
    </row>
    <row r="19" spans="1:11" ht="12" customHeight="1">
      <c r="A19" s="38"/>
      <c r="B19" s="14" t="s">
        <v>46</v>
      </c>
      <c r="C19" s="15">
        <v>7866</v>
      </c>
      <c r="D19" s="15">
        <v>0</v>
      </c>
      <c r="E19" s="15">
        <v>0</v>
      </c>
      <c r="F19" s="249"/>
      <c r="G19" s="244"/>
      <c r="H19" s="280"/>
      <c r="I19" s="428">
        <v>0</v>
      </c>
      <c r="J19" s="478">
        <v>0</v>
      </c>
      <c r="K19" s="489">
        <v>0</v>
      </c>
    </row>
    <row r="20" spans="1:11" ht="12" customHeight="1" thickBot="1">
      <c r="A20" s="40"/>
      <c r="B20" s="16" t="s">
        <v>47</v>
      </c>
      <c r="C20" s="17">
        <v>0</v>
      </c>
      <c r="D20" s="17">
        <v>0</v>
      </c>
      <c r="E20" s="17">
        <v>0</v>
      </c>
      <c r="F20" s="251"/>
      <c r="G20" s="245"/>
      <c r="H20" s="281"/>
      <c r="I20" s="427">
        <v>0</v>
      </c>
      <c r="J20" s="481">
        <v>0</v>
      </c>
      <c r="K20" s="491">
        <v>0</v>
      </c>
    </row>
    <row r="21" spans="1:11" ht="12" customHeight="1" thickBot="1">
      <c r="A21" s="9" t="s">
        <v>24</v>
      </c>
      <c r="B21" s="10" t="s">
        <v>25</v>
      </c>
      <c r="C21" s="11">
        <f>C17+C18</f>
        <v>7866</v>
      </c>
      <c r="D21" s="11">
        <f>D16+D18</f>
        <v>0</v>
      </c>
      <c r="E21" s="11">
        <v>0</v>
      </c>
      <c r="F21" s="252"/>
      <c r="G21" s="247"/>
      <c r="H21" s="279"/>
      <c r="I21" s="424">
        <v>0</v>
      </c>
      <c r="J21" s="260">
        <v>0</v>
      </c>
      <c r="K21" s="483">
        <v>0</v>
      </c>
    </row>
    <row r="22" spans="1:11" ht="12" customHeight="1" thickBot="1">
      <c r="A22" s="254"/>
      <c r="B22" s="18"/>
      <c r="C22" s="19"/>
      <c r="D22" s="19"/>
      <c r="E22" s="19"/>
      <c r="F22" s="255"/>
      <c r="G22" s="256"/>
      <c r="H22" s="285"/>
      <c r="I22" s="255"/>
      <c r="J22" s="482"/>
      <c r="K22" s="483"/>
    </row>
    <row r="23" spans="1:11" ht="12" customHeight="1" thickBot="1">
      <c r="A23" s="282" t="s">
        <v>48</v>
      </c>
      <c r="B23" s="41"/>
      <c r="C23" s="41"/>
      <c r="D23" s="41"/>
      <c r="E23" s="41"/>
      <c r="F23" s="41"/>
      <c r="G23" s="283"/>
      <c r="H23" s="282"/>
      <c r="I23" s="41"/>
      <c r="J23" s="41"/>
      <c r="K23" s="283"/>
    </row>
    <row r="24" spans="1:11" ht="12" customHeight="1" thickBot="1">
      <c r="A24" s="9" t="s">
        <v>26</v>
      </c>
      <c r="B24" s="10" t="s">
        <v>27</v>
      </c>
      <c r="C24" s="11">
        <f>C25+C33</f>
        <v>6682</v>
      </c>
      <c r="D24" s="11">
        <f>D25+D33</f>
        <v>0</v>
      </c>
      <c r="E24" s="55">
        <v>0</v>
      </c>
      <c r="F24" s="252"/>
      <c r="G24" s="247"/>
      <c r="H24" s="279"/>
      <c r="I24" s="424">
        <v>0</v>
      </c>
      <c r="J24" s="260">
        <f>J25+J34</f>
        <v>0</v>
      </c>
      <c r="K24" s="483">
        <v>0</v>
      </c>
    </row>
    <row r="25" spans="1:11" ht="12" customHeight="1">
      <c r="A25" s="38" t="s">
        <v>49</v>
      </c>
      <c r="B25" s="14" t="s">
        <v>50</v>
      </c>
      <c r="C25" s="15">
        <f>SUM(C26:C32)</f>
        <v>6682</v>
      </c>
      <c r="D25" s="15">
        <f>SUM(D26:D32)</f>
        <v>0</v>
      </c>
      <c r="E25" s="241">
        <v>0</v>
      </c>
      <c r="F25" s="249"/>
      <c r="G25" s="244"/>
      <c r="H25" s="280"/>
      <c r="I25" s="428">
        <v>0</v>
      </c>
      <c r="J25" s="539">
        <v>0</v>
      </c>
      <c r="K25" s="540">
        <v>0</v>
      </c>
    </row>
    <row r="26" spans="1:11" ht="12" customHeight="1">
      <c r="A26" s="34"/>
      <c r="B26" s="20" t="s">
        <v>51</v>
      </c>
      <c r="C26" s="21">
        <f>475+2137+4061</f>
        <v>6673</v>
      </c>
      <c r="D26" s="21">
        <v>0</v>
      </c>
      <c r="E26" s="241">
        <v>0</v>
      </c>
      <c r="F26" s="250"/>
      <c r="G26" s="246"/>
      <c r="H26" s="286"/>
      <c r="I26" s="426">
        <v>0</v>
      </c>
      <c r="J26" s="532">
        <v>0</v>
      </c>
      <c r="K26" s="536">
        <v>0</v>
      </c>
    </row>
    <row r="27" spans="1:11" ht="12" customHeight="1">
      <c r="A27" s="34"/>
      <c r="B27" s="20" t="s">
        <v>52</v>
      </c>
      <c r="C27" s="21">
        <v>0</v>
      </c>
      <c r="D27" s="21">
        <v>0</v>
      </c>
      <c r="E27" s="241">
        <v>0</v>
      </c>
      <c r="F27" s="250"/>
      <c r="G27" s="246"/>
      <c r="H27" s="286"/>
      <c r="I27" s="426">
        <v>0</v>
      </c>
      <c r="J27" s="532">
        <v>0</v>
      </c>
      <c r="K27" s="536">
        <v>0</v>
      </c>
    </row>
    <row r="28" spans="1:11" ht="12" customHeight="1">
      <c r="A28" s="34"/>
      <c r="B28" s="20" t="s">
        <v>53</v>
      </c>
      <c r="C28" s="21">
        <v>0</v>
      </c>
      <c r="D28" s="21">
        <v>0</v>
      </c>
      <c r="E28" s="241">
        <v>0</v>
      </c>
      <c r="F28" s="250"/>
      <c r="G28" s="246"/>
      <c r="H28" s="286"/>
      <c r="I28" s="426">
        <v>0</v>
      </c>
      <c r="J28" s="532">
        <v>0</v>
      </c>
      <c r="K28" s="536">
        <v>0</v>
      </c>
    </row>
    <row r="29" spans="1:11" ht="12" customHeight="1">
      <c r="A29" s="34"/>
      <c r="B29" s="20" t="s">
        <v>54</v>
      </c>
      <c r="C29" s="21">
        <v>0</v>
      </c>
      <c r="D29" s="21">
        <v>0</v>
      </c>
      <c r="E29" s="241">
        <v>0</v>
      </c>
      <c r="F29" s="250"/>
      <c r="G29" s="246"/>
      <c r="H29" s="286"/>
      <c r="I29" s="426">
        <v>0</v>
      </c>
      <c r="J29" s="532">
        <v>0</v>
      </c>
      <c r="K29" s="536">
        <v>0</v>
      </c>
    </row>
    <row r="30" spans="1:11" ht="12" customHeight="1">
      <c r="A30" s="34"/>
      <c r="B30" s="20" t="s">
        <v>55</v>
      </c>
      <c r="C30" s="21">
        <v>9</v>
      </c>
      <c r="D30" s="21">
        <v>0</v>
      </c>
      <c r="E30" s="241">
        <v>0</v>
      </c>
      <c r="F30" s="250"/>
      <c r="G30" s="246"/>
      <c r="H30" s="286"/>
      <c r="I30" s="426">
        <v>0</v>
      </c>
      <c r="J30" s="532">
        <v>0</v>
      </c>
      <c r="K30" s="536">
        <v>0</v>
      </c>
    </row>
    <row r="31" spans="1:11" ht="12" customHeight="1">
      <c r="A31" s="34"/>
      <c r="B31" s="20" t="s">
        <v>56</v>
      </c>
      <c r="C31" s="21">
        <v>0</v>
      </c>
      <c r="D31" s="21">
        <v>0</v>
      </c>
      <c r="E31" s="241">
        <v>0</v>
      </c>
      <c r="F31" s="250"/>
      <c r="G31" s="246"/>
      <c r="H31" s="286"/>
      <c r="I31" s="426">
        <v>0</v>
      </c>
      <c r="J31" s="532">
        <v>0</v>
      </c>
      <c r="K31" s="536">
        <v>0</v>
      </c>
    </row>
    <row r="32" spans="1:11" ht="12" customHeight="1">
      <c r="A32" s="34"/>
      <c r="B32" s="20" t="s">
        <v>57</v>
      </c>
      <c r="C32" s="21">
        <v>0</v>
      </c>
      <c r="D32" s="21">
        <v>0</v>
      </c>
      <c r="E32" s="241">
        <v>0</v>
      </c>
      <c r="F32" s="250"/>
      <c r="G32" s="246"/>
      <c r="H32" s="286"/>
      <c r="I32" s="426">
        <v>0</v>
      </c>
      <c r="J32" s="532">
        <v>0</v>
      </c>
      <c r="K32" s="536">
        <v>0</v>
      </c>
    </row>
    <row r="33" spans="1:11" ht="12" customHeight="1">
      <c r="A33" s="34" t="s">
        <v>58</v>
      </c>
      <c r="B33" s="20" t="s">
        <v>59</v>
      </c>
      <c r="C33" s="21">
        <f>C34+C35+C36</f>
        <v>0</v>
      </c>
      <c r="D33" s="21">
        <f>D34+D35+D36</f>
        <v>0</v>
      </c>
      <c r="E33" s="241">
        <v>0</v>
      </c>
      <c r="F33" s="250"/>
      <c r="G33" s="246"/>
      <c r="H33" s="286"/>
      <c r="I33" s="426">
        <v>0</v>
      </c>
      <c r="J33" s="532">
        <v>0</v>
      </c>
      <c r="K33" s="536">
        <v>0</v>
      </c>
    </row>
    <row r="34" spans="1:11" ht="12" customHeight="1">
      <c r="A34" s="34"/>
      <c r="B34" s="20" t="s">
        <v>60</v>
      </c>
      <c r="C34" s="21">
        <v>0</v>
      </c>
      <c r="D34" s="21">
        <v>0</v>
      </c>
      <c r="E34" s="241">
        <v>0</v>
      </c>
      <c r="F34" s="250"/>
      <c r="G34" s="246"/>
      <c r="H34" s="286"/>
      <c r="I34" s="426">
        <v>0</v>
      </c>
      <c r="J34" s="532">
        <v>0</v>
      </c>
      <c r="K34" s="536">
        <v>0</v>
      </c>
    </row>
    <row r="35" spans="1:11" ht="12" customHeight="1">
      <c r="A35" s="34"/>
      <c r="B35" s="20" t="s">
        <v>85</v>
      </c>
      <c r="C35" s="21">
        <v>0</v>
      </c>
      <c r="D35" s="21">
        <v>0</v>
      </c>
      <c r="E35" s="241">
        <v>0</v>
      </c>
      <c r="F35" s="250"/>
      <c r="G35" s="246"/>
      <c r="H35" s="286"/>
      <c r="I35" s="426">
        <v>0</v>
      </c>
      <c r="J35" s="532">
        <v>0</v>
      </c>
      <c r="K35" s="536">
        <v>0</v>
      </c>
    </row>
    <row r="36" spans="1:11" ht="12" customHeight="1" thickBot="1">
      <c r="A36" s="40"/>
      <c r="B36" s="16" t="s">
        <v>61</v>
      </c>
      <c r="C36" s="17">
        <v>0</v>
      </c>
      <c r="D36" s="17">
        <v>0</v>
      </c>
      <c r="E36" s="241">
        <v>0</v>
      </c>
      <c r="F36" s="250"/>
      <c r="G36" s="246"/>
      <c r="H36" s="286"/>
      <c r="I36" s="426">
        <v>0</v>
      </c>
      <c r="J36" s="532">
        <v>0</v>
      </c>
      <c r="K36" s="536">
        <v>0</v>
      </c>
    </row>
    <row r="37" spans="1:11" ht="12" customHeight="1" thickBot="1">
      <c r="A37" s="9" t="s">
        <v>28</v>
      </c>
      <c r="B37" s="22" t="s">
        <v>84</v>
      </c>
      <c r="C37" s="11">
        <f>SUM(C38:C40)</f>
        <v>901</v>
      </c>
      <c r="D37" s="11">
        <f>SUM(D38:D40)</f>
        <v>0</v>
      </c>
      <c r="E37" s="55">
        <v>0</v>
      </c>
      <c r="F37" s="252"/>
      <c r="G37" s="247"/>
      <c r="H37" s="279"/>
      <c r="I37" s="424">
        <v>0</v>
      </c>
      <c r="J37" s="260">
        <v>0</v>
      </c>
      <c r="K37" s="480">
        <v>0</v>
      </c>
    </row>
    <row r="38" spans="1:11" ht="12" customHeight="1">
      <c r="A38" s="34"/>
      <c r="B38" s="20" t="s">
        <v>62</v>
      </c>
      <c r="C38" s="15">
        <f>64+289+548</f>
        <v>901</v>
      </c>
      <c r="D38" s="21">
        <v>0</v>
      </c>
      <c r="E38" s="241">
        <v>0</v>
      </c>
      <c r="F38" s="249"/>
      <c r="G38" s="244"/>
      <c r="H38" s="280"/>
      <c r="I38" s="428">
        <v>0</v>
      </c>
      <c r="J38" s="533">
        <v>0</v>
      </c>
      <c r="K38" s="534">
        <v>0</v>
      </c>
    </row>
    <row r="39" spans="1:11" ht="12" customHeight="1">
      <c r="A39" s="34"/>
      <c r="B39" s="20" t="s">
        <v>63</v>
      </c>
      <c r="C39" s="21">
        <v>0</v>
      </c>
      <c r="D39" s="21">
        <v>0</v>
      </c>
      <c r="E39" s="241">
        <v>0</v>
      </c>
      <c r="F39" s="250"/>
      <c r="G39" s="246"/>
      <c r="H39" s="286"/>
      <c r="I39" s="426">
        <v>0</v>
      </c>
      <c r="J39" s="532">
        <v>0</v>
      </c>
      <c r="K39" s="535">
        <v>0</v>
      </c>
    </row>
    <row r="40" spans="1:11" ht="12" customHeight="1" thickBot="1">
      <c r="A40" s="40"/>
      <c r="B40" s="16" t="s">
        <v>64</v>
      </c>
      <c r="C40" s="17">
        <v>0</v>
      </c>
      <c r="D40" s="17">
        <v>0</v>
      </c>
      <c r="E40" s="242">
        <v>0</v>
      </c>
      <c r="F40" s="251"/>
      <c r="G40" s="245"/>
      <c r="H40" s="281"/>
      <c r="I40" s="427">
        <v>0</v>
      </c>
      <c r="J40" s="531">
        <v>0</v>
      </c>
      <c r="K40" s="535">
        <f>J40/I41</f>
        <v>0</v>
      </c>
    </row>
    <row r="41" spans="1:11" ht="12" customHeight="1" thickBot="1">
      <c r="A41" s="9" t="s">
        <v>29</v>
      </c>
      <c r="B41" s="10" t="s">
        <v>30</v>
      </c>
      <c r="C41" s="11">
        <f>SUM(C42,C44,C52)</f>
        <v>283</v>
      </c>
      <c r="D41" s="11">
        <f>SUM(D42:D56)</f>
        <v>0</v>
      </c>
      <c r="E41" s="55">
        <f>E44+E53</f>
        <v>937650</v>
      </c>
      <c r="F41" s="252">
        <f>F42+F43+F44+F51+F52</f>
        <v>0</v>
      </c>
      <c r="G41" s="247">
        <f>G42+G43+G44+G51+G52</f>
        <v>937650</v>
      </c>
      <c r="H41" s="279">
        <f>H42+H43+H44+H51+H52</f>
        <v>0</v>
      </c>
      <c r="I41" s="424">
        <f>I42+I43+I44+I51+I52</f>
        <v>937650</v>
      </c>
      <c r="J41" s="260">
        <f>J42+J43+J44+J51+J52</f>
        <v>847361</v>
      </c>
      <c r="K41" s="483">
        <f>J41/I41</f>
        <v>0.9037071401909028</v>
      </c>
    </row>
    <row r="42" spans="1:11" ht="12" customHeight="1">
      <c r="A42" s="38" t="s">
        <v>65</v>
      </c>
      <c r="B42" s="14" t="s">
        <v>67</v>
      </c>
      <c r="C42" s="15">
        <v>223</v>
      </c>
      <c r="D42" s="15">
        <v>0</v>
      </c>
      <c r="E42" s="241">
        <v>0</v>
      </c>
      <c r="F42" s="249"/>
      <c r="G42" s="244"/>
      <c r="H42" s="280"/>
      <c r="I42" s="428">
        <v>0</v>
      </c>
      <c r="J42" s="532">
        <v>0</v>
      </c>
      <c r="K42" s="536">
        <v>0</v>
      </c>
    </row>
    <row r="43" spans="1:11" ht="12" customHeight="1">
      <c r="A43" s="34" t="s">
        <v>66</v>
      </c>
      <c r="B43" s="20" t="s">
        <v>68</v>
      </c>
      <c r="C43" s="21">
        <v>0</v>
      </c>
      <c r="D43" s="21">
        <v>0</v>
      </c>
      <c r="E43" s="241">
        <v>0</v>
      </c>
      <c r="F43" s="250"/>
      <c r="G43" s="246"/>
      <c r="H43" s="286"/>
      <c r="I43" s="426">
        <v>0</v>
      </c>
      <c r="J43" s="532">
        <v>0</v>
      </c>
      <c r="K43" s="536">
        <v>0</v>
      </c>
    </row>
    <row r="44" spans="1:11" ht="12" customHeight="1">
      <c r="A44" s="34" t="s">
        <v>69</v>
      </c>
      <c r="B44" s="20" t="s">
        <v>70</v>
      </c>
      <c r="C44" s="21">
        <f aca="true" t="shared" si="0" ref="C44:H44">SUM(C45:C50)</f>
        <v>0</v>
      </c>
      <c r="D44" s="21">
        <f t="shared" si="0"/>
        <v>0</v>
      </c>
      <c r="E44" s="62">
        <f t="shared" si="0"/>
        <v>738307</v>
      </c>
      <c r="F44" s="250">
        <f t="shared" si="0"/>
        <v>0</v>
      </c>
      <c r="G44" s="246">
        <f t="shared" si="0"/>
        <v>738307</v>
      </c>
      <c r="H44" s="286">
        <f t="shared" si="0"/>
        <v>0</v>
      </c>
      <c r="I44" s="426">
        <f>I46</f>
        <v>738307</v>
      </c>
      <c r="J44" s="532">
        <f>SUM(J45:J50)</f>
        <v>667214</v>
      </c>
      <c r="K44" s="536">
        <f>J44/I44</f>
        <v>0.9037080780759223</v>
      </c>
    </row>
    <row r="45" spans="1:11" ht="12" customHeight="1">
      <c r="A45" s="34"/>
      <c r="B45" s="20" t="s">
        <v>91</v>
      </c>
      <c r="C45" s="21">
        <v>0</v>
      </c>
      <c r="D45" s="21">
        <v>0</v>
      </c>
      <c r="E45" s="241">
        <v>0</v>
      </c>
      <c r="F45" s="250"/>
      <c r="G45" s="246"/>
      <c r="H45" s="286"/>
      <c r="I45" s="426">
        <v>0</v>
      </c>
      <c r="J45" s="532">
        <v>0</v>
      </c>
      <c r="K45" s="536">
        <v>0</v>
      </c>
    </row>
    <row r="46" spans="1:11" ht="12" customHeight="1">
      <c r="A46" s="34"/>
      <c r="B46" s="23" t="s">
        <v>97</v>
      </c>
      <c r="C46" s="21">
        <v>0</v>
      </c>
      <c r="D46" s="21">
        <v>0</v>
      </c>
      <c r="E46" s="241">
        <v>738307</v>
      </c>
      <c r="F46" s="250">
        <v>0</v>
      </c>
      <c r="G46" s="246">
        <v>738307</v>
      </c>
      <c r="H46" s="286"/>
      <c r="I46" s="426">
        <f>G46</f>
        <v>738307</v>
      </c>
      <c r="J46" s="532">
        <v>667214</v>
      </c>
      <c r="K46" s="536">
        <f>J46/I46</f>
        <v>0.9037080780759223</v>
      </c>
    </row>
    <row r="47" spans="1:11" ht="12" customHeight="1">
      <c r="A47" s="34"/>
      <c r="B47" s="20" t="s">
        <v>71</v>
      </c>
      <c r="C47" s="21">
        <v>0</v>
      </c>
      <c r="D47" s="21">
        <v>0</v>
      </c>
      <c r="E47" s="241">
        <v>0</v>
      </c>
      <c r="F47" s="250"/>
      <c r="G47" s="246"/>
      <c r="H47" s="286"/>
      <c r="I47" s="426">
        <v>0</v>
      </c>
      <c r="J47" s="532">
        <v>0</v>
      </c>
      <c r="K47" s="536">
        <v>0</v>
      </c>
    </row>
    <row r="48" spans="1:11" ht="12" customHeight="1">
      <c r="A48" s="34"/>
      <c r="B48" s="20" t="s">
        <v>92</v>
      </c>
      <c r="C48" s="21">
        <v>0</v>
      </c>
      <c r="D48" s="21">
        <v>0</v>
      </c>
      <c r="E48" s="241">
        <v>0</v>
      </c>
      <c r="F48" s="250"/>
      <c r="G48" s="246"/>
      <c r="H48" s="286"/>
      <c r="I48" s="426">
        <v>0</v>
      </c>
      <c r="J48" s="532">
        <v>0</v>
      </c>
      <c r="K48" s="536">
        <v>0</v>
      </c>
    </row>
    <row r="49" spans="1:11" ht="12" customHeight="1">
      <c r="A49" s="34"/>
      <c r="B49" s="20" t="s">
        <v>72</v>
      </c>
      <c r="C49" s="21">
        <v>0</v>
      </c>
      <c r="D49" s="21">
        <v>0</v>
      </c>
      <c r="E49" s="241">
        <v>0</v>
      </c>
      <c r="F49" s="250"/>
      <c r="G49" s="246"/>
      <c r="H49" s="286"/>
      <c r="I49" s="426">
        <v>0</v>
      </c>
      <c r="J49" s="532">
        <v>0</v>
      </c>
      <c r="K49" s="536">
        <v>0</v>
      </c>
    </row>
    <row r="50" spans="1:11" ht="12" customHeight="1">
      <c r="A50" s="34"/>
      <c r="B50" s="20" t="s">
        <v>73</v>
      </c>
      <c r="C50" s="21">
        <v>0</v>
      </c>
      <c r="D50" s="21">
        <v>0</v>
      </c>
      <c r="E50" s="241">
        <v>0</v>
      </c>
      <c r="F50" s="250"/>
      <c r="G50" s="246"/>
      <c r="H50" s="286"/>
      <c r="I50" s="426">
        <v>0</v>
      </c>
      <c r="J50" s="532">
        <v>0</v>
      </c>
      <c r="K50" s="536">
        <v>0</v>
      </c>
    </row>
    <row r="51" spans="1:11" ht="12" customHeight="1">
      <c r="A51" s="34" t="s">
        <v>74</v>
      </c>
      <c r="B51" s="20" t="s">
        <v>75</v>
      </c>
      <c r="C51" s="21">
        <v>0</v>
      </c>
      <c r="D51" s="21">
        <v>0</v>
      </c>
      <c r="E51" s="241">
        <v>0</v>
      </c>
      <c r="F51" s="250"/>
      <c r="G51" s="246"/>
      <c r="H51" s="286"/>
      <c r="I51" s="426">
        <v>0</v>
      </c>
      <c r="J51" s="532">
        <v>0</v>
      </c>
      <c r="K51" s="536">
        <v>0</v>
      </c>
    </row>
    <row r="52" spans="1:11" ht="12" customHeight="1">
      <c r="A52" s="34" t="s">
        <v>76</v>
      </c>
      <c r="B52" s="20" t="s">
        <v>77</v>
      </c>
      <c r="C52" s="21">
        <f>SUM(C53:C56)</f>
        <v>60</v>
      </c>
      <c r="D52" s="21"/>
      <c r="E52" s="241">
        <f>E53</f>
        <v>199343</v>
      </c>
      <c r="F52" s="250">
        <v>0</v>
      </c>
      <c r="G52" s="246">
        <f>G53+G54+G55+G56</f>
        <v>199343</v>
      </c>
      <c r="H52" s="286"/>
      <c r="I52" s="426">
        <f>G52</f>
        <v>199343</v>
      </c>
      <c r="J52" s="532">
        <f>J53+J54</f>
        <v>180147</v>
      </c>
      <c r="K52" s="536">
        <f>J52/I52</f>
        <v>0.903703666544599</v>
      </c>
    </row>
    <row r="53" spans="1:11" ht="12" customHeight="1">
      <c r="A53" s="34"/>
      <c r="B53" s="20" t="s">
        <v>87</v>
      </c>
      <c r="C53" s="21">
        <v>60</v>
      </c>
      <c r="D53" s="21">
        <v>0</v>
      </c>
      <c r="E53" s="62">
        <v>199343</v>
      </c>
      <c r="F53" s="250">
        <v>0</v>
      </c>
      <c r="G53" s="246">
        <v>199343</v>
      </c>
      <c r="H53" s="286"/>
      <c r="I53" s="426">
        <f>G53</f>
        <v>199343</v>
      </c>
      <c r="J53" s="532">
        <v>180147</v>
      </c>
      <c r="K53" s="536">
        <f>J53/I53</f>
        <v>0.903703666544599</v>
      </c>
    </row>
    <row r="54" spans="1:11" ht="12" customHeight="1">
      <c r="A54" s="34"/>
      <c r="B54" s="20" t="s">
        <v>78</v>
      </c>
      <c r="C54" s="21">
        <v>0</v>
      </c>
      <c r="D54" s="21">
        <v>0</v>
      </c>
      <c r="E54" s="241">
        <v>0</v>
      </c>
      <c r="F54" s="250"/>
      <c r="G54" s="246"/>
      <c r="H54" s="286"/>
      <c r="I54" s="426">
        <v>0</v>
      </c>
      <c r="J54" s="532">
        <v>0</v>
      </c>
      <c r="K54" s="536">
        <v>0</v>
      </c>
    </row>
    <row r="55" spans="1:11" ht="12" customHeight="1">
      <c r="A55" s="34"/>
      <c r="B55" s="20" t="s">
        <v>13</v>
      </c>
      <c r="C55" s="21">
        <v>0</v>
      </c>
      <c r="D55" s="21">
        <v>0</v>
      </c>
      <c r="E55" s="241">
        <v>0</v>
      </c>
      <c r="F55" s="250"/>
      <c r="G55" s="246"/>
      <c r="H55" s="286"/>
      <c r="I55" s="426">
        <v>0</v>
      </c>
      <c r="J55" s="545">
        <v>0</v>
      </c>
      <c r="K55" s="536">
        <v>0</v>
      </c>
    </row>
    <row r="56" spans="1:11" ht="12" customHeight="1" thickBot="1">
      <c r="A56" s="40"/>
      <c r="B56" s="16" t="s">
        <v>79</v>
      </c>
      <c r="C56" s="17">
        <v>0</v>
      </c>
      <c r="D56" s="17">
        <v>0</v>
      </c>
      <c r="E56" s="242">
        <v>0</v>
      </c>
      <c r="F56" s="251"/>
      <c r="G56" s="245"/>
      <c r="H56" s="281"/>
      <c r="I56" s="427">
        <v>0</v>
      </c>
      <c r="J56" s="531">
        <v>0</v>
      </c>
      <c r="K56" s="536">
        <v>0</v>
      </c>
    </row>
    <row r="57" spans="1:11" ht="12" customHeight="1" thickBot="1">
      <c r="A57" s="9" t="s">
        <v>31</v>
      </c>
      <c r="B57" s="10" t="s">
        <v>32</v>
      </c>
      <c r="C57" s="11">
        <v>0</v>
      </c>
      <c r="D57" s="11">
        <v>0</v>
      </c>
      <c r="E57" s="55">
        <v>0</v>
      </c>
      <c r="F57" s="252"/>
      <c r="G57" s="247"/>
      <c r="H57" s="279"/>
      <c r="I57" s="424">
        <v>0</v>
      </c>
      <c r="J57" s="260">
        <v>0</v>
      </c>
      <c r="K57" s="480">
        <v>0</v>
      </c>
    </row>
    <row r="58" spans="1:11" ht="12" customHeight="1" thickBot="1">
      <c r="A58" s="9" t="s">
        <v>33</v>
      </c>
      <c r="B58" s="10" t="s">
        <v>80</v>
      </c>
      <c r="C58" s="11"/>
      <c r="D58" s="11">
        <v>0</v>
      </c>
      <c r="E58" s="55">
        <v>0</v>
      </c>
      <c r="F58" s="252"/>
      <c r="G58" s="247"/>
      <c r="H58" s="279"/>
      <c r="I58" s="424">
        <v>0</v>
      </c>
      <c r="J58" s="260">
        <v>0</v>
      </c>
      <c r="K58" s="480">
        <v>0</v>
      </c>
    </row>
    <row r="59" spans="1:11" ht="12" customHeight="1" thickBot="1">
      <c r="A59" s="9" t="s">
        <v>34</v>
      </c>
      <c r="B59" s="10" t="s">
        <v>35</v>
      </c>
      <c r="C59" s="11"/>
      <c r="D59" s="11">
        <v>0</v>
      </c>
      <c r="E59" s="55">
        <v>0</v>
      </c>
      <c r="F59" s="252"/>
      <c r="G59" s="247"/>
      <c r="H59" s="279"/>
      <c r="I59" s="424">
        <v>0</v>
      </c>
      <c r="J59" s="260">
        <v>0</v>
      </c>
      <c r="K59" s="480">
        <v>0</v>
      </c>
    </row>
    <row r="60" spans="1:11" ht="12" customHeight="1" thickBot="1">
      <c r="A60" s="9"/>
      <c r="B60" s="10" t="s">
        <v>88</v>
      </c>
      <c r="C60" s="11"/>
      <c r="D60" s="11">
        <v>0</v>
      </c>
      <c r="E60" s="55">
        <v>0</v>
      </c>
      <c r="F60" s="252"/>
      <c r="G60" s="247"/>
      <c r="H60" s="279"/>
      <c r="I60" s="424">
        <v>0</v>
      </c>
      <c r="J60" s="260">
        <v>0</v>
      </c>
      <c r="K60" s="480">
        <v>0</v>
      </c>
    </row>
    <row r="61" spans="1:11" ht="12" customHeight="1" thickBot="1">
      <c r="A61" s="9" t="s">
        <v>36</v>
      </c>
      <c r="B61" s="10" t="s">
        <v>37</v>
      </c>
      <c r="C61" s="11">
        <v>0</v>
      </c>
      <c r="D61" s="11">
        <v>0</v>
      </c>
      <c r="E61" s="55">
        <v>0</v>
      </c>
      <c r="F61" s="252"/>
      <c r="G61" s="247"/>
      <c r="H61" s="279"/>
      <c r="I61" s="424">
        <v>0</v>
      </c>
      <c r="J61" s="260">
        <v>0</v>
      </c>
      <c r="K61" s="480">
        <v>0</v>
      </c>
    </row>
    <row r="62" spans="1:11" ht="12" customHeight="1" thickBot="1">
      <c r="A62" s="9"/>
      <c r="B62" s="10" t="s">
        <v>89</v>
      </c>
      <c r="C62" s="11">
        <v>0</v>
      </c>
      <c r="D62" s="11">
        <v>0</v>
      </c>
      <c r="E62" s="55">
        <v>0</v>
      </c>
      <c r="F62" s="252"/>
      <c r="G62" s="247"/>
      <c r="H62" s="279"/>
      <c r="I62" s="424">
        <v>0</v>
      </c>
      <c r="J62" s="260">
        <v>0</v>
      </c>
      <c r="K62" s="480">
        <v>0</v>
      </c>
    </row>
    <row r="63" spans="1:11" ht="12" customHeight="1" thickBot="1">
      <c r="A63" s="9" t="s">
        <v>38</v>
      </c>
      <c r="B63" s="10" t="s">
        <v>94</v>
      </c>
      <c r="C63" s="11">
        <v>0</v>
      </c>
      <c r="D63" s="11">
        <v>0</v>
      </c>
      <c r="E63" s="55">
        <v>0</v>
      </c>
      <c r="F63" s="252"/>
      <c r="G63" s="247"/>
      <c r="H63" s="279"/>
      <c r="I63" s="424">
        <v>0</v>
      </c>
      <c r="J63" s="519">
        <v>0</v>
      </c>
      <c r="K63" s="480">
        <v>0</v>
      </c>
    </row>
    <row r="64" spans="1:11" ht="12" customHeight="1" thickBot="1">
      <c r="A64" s="9" t="s">
        <v>39</v>
      </c>
      <c r="B64" s="10" t="s">
        <v>82</v>
      </c>
      <c r="C64" s="11">
        <f>C63+C62+C61+C60+C59+C58+C57+C41+C37+C24</f>
        <v>7866</v>
      </c>
      <c r="D64" s="11">
        <f>D63+D62+D61+D60+D59+D58+D57+D41+D37+D24</f>
        <v>0</v>
      </c>
      <c r="E64" s="55">
        <f>E63+E62+E61+E60+E59+E58+E57+E41+E37+E24</f>
        <v>937650</v>
      </c>
      <c r="F64" s="252">
        <f>F62+F61+F60+F59+F57+F58+F41+F37+F24</f>
        <v>0</v>
      </c>
      <c r="G64" s="247">
        <f>G62+G61+G60+G59+G57+G58+G41+G37+G24</f>
        <v>937650</v>
      </c>
      <c r="H64" s="279">
        <f>H62+H61+H60+H59+H57+H58+H41+H37+H24</f>
        <v>0</v>
      </c>
      <c r="I64" s="424">
        <f>I41</f>
        <v>937650</v>
      </c>
      <c r="J64" s="260">
        <f>J41</f>
        <v>847361</v>
      </c>
      <c r="K64" s="480">
        <f>J64/I64</f>
        <v>0.9037071401909028</v>
      </c>
    </row>
    <row r="65" spans="1:11" ht="12" customHeight="1" thickBot="1">
      <c r="A65" s="9" t="s">
        <v>40</v>
      </c>
      <c r="B65" s="10" t="s">
        <v>41</v>
      </c>
      <c r="C65" s="11">
        <f>SUM(C66:C66)</f>
        <v>0</v>
      </c>
      <c r="D65" s="11">
        <f>SUM(D66:D66)</f>
        <v>0</v>
      </c>
      <c r="E65" s="55">
        <v>0</v>
      </c>
      <c r="F65" s="252"/>
      <c r="G65" s="247"/>
      <c r="H65" s="279"/>
      <c r="I65" s="424">
        <v>0</v>
      </c>
      <c r="J65" s="260">
        <v>0</v>
      </c>
      <c r="K65" s="480">
        <v>0</v>
      </c>
    </row>
    <row r="66" spans="1:11" ht="12" customHeight="1" hidden="1" thickBot="1">
      <c r="A66" s="40"/>
      <c r="B66" s="16" t="s">
        <v>95</v>
      </c>
      <c r="C66" s="17">
        <v>0</v>
      </c>
      <c r="D66" s="17">
        <v>0</v>
      </c>
      <c r="E66" s="243"/>
      <c r="F66" s="252"/>
      <c r="G66" s="247"/>
      <c r="H66" s="279"/>
      <c r="I66" s="424"/>
      <c r="J66" s="260"/>
      <c r="K66" s="480" t="e">
        <f>J66/I66</f>
        <v>#DIV/0!</v>
      </c>
    </row>
    <row r="67" spans="1:11" ht="12" customHeight="1" thickBot="1">
      <c r="A67" s="9" t="s">
        <v>42</v>
      </c>
      <c r="B67" s="10" t="s">
        <v>43</v>
      </c>
      <c r="C67" s="11">
        <f>C64+C65</f>
        <v>7866</v>
      </c>
      <c r="D67" s="11">
        <f>D63+D65</f>
        <v>0</v>
      </c>
      <c r="E67" s="55">
        <f>E64</f>
        <v>937650</v>
      </c>
      <c r="F67" s="253">
        <f>F65+F64</f>
        <v>0</v>
      </c>
      <c r="G67" s="248">
        <f>G65+G64</f>
        <v>937650</v>
      </c>
      <c r="H67" s="287">
        <f>H65+H64</f>
        <v>0</v>
      </c>
      <c r="I67" s="488">
        <f>I64</f>
        <v>937650</v>
      </c>
      <c r="J67" s="260">
        <f>J64+J65</f>
        <v>847361</v>
      </c>
      <c r="K67" s="480">
        <f>J67/I67</f>
        <v>0.9037071401909028</v>
      </c>
    </row>
    <row r="91" spans="3:8" ht="15">
      <c r="C91" s="54"/>
      <c r="H91" s="54"/>
    </row>
    <row r="93" ht="15">
      <c r="H93" s="54"/>
    </row>
    <row r="101" ht="15">
      <c r="H101" s="54"/>
    </row>
  </sheetData>
  <sheetProtection/>
  <mergeCells count="4">
    <mergeCell ref="B2:I2"/>
    <mergeCell ref="A6:E6"/>
    <mergeCell ref="A3:K3"/>
    <mergeCell ref="A4:K4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5" sqref="A1:F15"/>
    </sheetView>
  </sheetViews>
  <sheetFormatPr defaultColWidth="9.140625" defaultRowHeight="15"/>
  <cols>
    <col min="1" max="1" width="9.140625" style="1" customWidth="1"/>
    <col min="2" max="2" width="47.7109375" style="1" bestFit="1" customWidth="1"/>
    <col min="3" max="3" width="11.00390625" style="1" customWidth="1"/>
    <col min="4" max="4" width="9.8515625" style="1" customWidth="1"/>
    <col min="5" max="16384" width="9.140625" style="1" customWidth="1"/>
  </cols>
  <sheetData>
    <row r="1" spans="1:2" ht="15">
      <c r="A1" s="265">
        <f>'Intézményen kívüli étkezés'!A1+1</f>
        <v>11</v>
      </c>
      <c r="B1" s="265" t="str">
        <f>Összevont!B1</f>
        <v>. melléklet az 5/2017. (V. 26.) önkormányzati rendelethez</v>
      </c>
    </row>
    <row r="2" ht="15">
      <c r="B2" s="265"/>
    </row>
    <row r="3" spans="1:6" ht="15">
      <c r="A3" s="879" t="s">
        <v>797</v>
      </c>
      <c r="B3" s="879"/>
      <c r="C3" s="879"/>
      <c r="D3" s="879"/>
      <c r="E3" s="879"/>
      <c r="F3" s="879"/>
    </row>
    <row r="4" spans="1:6" ht="15">
      <c r="A4" s="879" t="str">
        <f>'[2]29 Intézményen kívüli étkezés'!A2:J2</f>
        <v>2016. évi zárszámadás</v>
      </c>
      <c r="B4" s="879"/>
      <c r="C4" s="879"/>
      <c r="D4" s="879"/>
      <c r="E4" s="879"/>
      <c r="F4" s="879"/>
    </row>
    <row r="5" spans="1:6" ht="15">
      <c r="A5" s="775"/>
      <c r="B5" s="775"/>
      <c r="C5" s="775"/>
      <c r="D5" s="728"/>
      <c r="E5" s="728"/>
      <c r="F5" s="728"/>
    </row>
    <row r="6" spans="1:6" ht="15.75" thickBot="1">
      <c r="A6" s="728"/>
      <c r="B6" s="728"/>
      <c r="C6" s="728"/>
      <c r="D6" s="729"/>
      <c r="E6" s="729" t="s">
        <v>5</v>
      </c>
      <c r="F6" s="728"/>
    </row>
    <row r="7" spans="1:6" ht="23.25" thickBot="1">
      <c r="A7" s="776" t="s">
        <v>791</v>
      </c>
      <c r="B7" s="777" t="s">
        <v>32</v>
      </c>
      <c r="C7" s="778" t="s">
        <v>322</v>
      </c>
      <c r="D7" s="779" t="s">
        <v>359</v>
      </c>
      <c r="E7" s="778" t="s">
        <v>398</v>
      </c>
      <c r="F7" s="780" t="s">
        <v>399</v>
      </c>
    </row>
    <row r="8" spans="1:6" ht="15">
      <c r="A8" s="781" t="s">
        <v>478</v>
      </c>
      <c r="B8" s="782" t="s">
        <v>792</v>
      </c>
      <c r="C8" s="737">
        <f>C9</f>
        <v>765</v>
      </c>
      <c r="D8" s="737">
        <f>D9</f>
        <v>1231</v>
      </c>
      <c r="E8" s="737">
        <f>E9</f>
        <v>1231</v>
      </c>
      <c r="F8" s="783">
        <f>E8/D8</f>
        <v>1</v>
      </c>
    </row>
    <row r="9" spans="1:6" ht="15">
      <c r="A9" s="784"/>
      <c r="B9" s="785" t="s">
        <v>793</v>
      </c>
      <c r="C9" s="742">
        <v>765</v>
      </c>
      <c r="D9" s="786">
        <v>1231</v>
      </c>
      <c r="E9" s="742">
        <v>1231</v>
      </c>
      <c r="F9" s="787">
        <f>E9/D9</f>
        <v>1</v>
      </c>
    </row>
    <row r="10" spans="1:6" ht="15">
      <c r="A10" s="784" t="s">
        <v>479</v>
      </c>
      <c r="B10" s="788" t="s">
        <v>781</v>
      </c>
      <c r="C10" s="742">
        <f>C11+C12+C13</f>
        <v>1918</v>
      </c>
      <c r="D10" s="742">
        <f>D11+D12+D13</f>
        <v>2271</v>
      </c>
      <c r="E10" s="742">
        <f>E11+E12+E13</f>
        <v>2270</v>
      </c>
      <c r="F10" s="787">
        <f>E10/D10</f>
        <v>0.9995596653456627</v>
      </c>
    </row>
    <row r="11" spans="1:6" ht="15">
      <c r="A11" s="784"/>
      <c r="B11" s="785" t="s">
        <v>794</v>
      </c>
      <c r="C11" s="742">
        <v>100</v>
      </c>
      <c r="D11" s="786">
        <v>0</v>
      </c>
      <c r="E11" s="742">
        <v>0</v>
      </c>
      <c r="F11" s="787"/>
    </row>
    <row r="12" spans="1:6" ht="15">
      <c r="A12" s="784"/>
      <c r="B12" s="785" t="s">
        <v>795</v>
      </c>
      <c r="C12" s="742">
        <v>100</v>
      </c>
      <c r="D12" s="786">
        <v>2271</v>
      </c>
      <c r="E12" s="742">
        <v>2270</v>
      </c>
      <c r="F12" s="787"/>
    </row>
    <row r="13" spans="1:6" ht="15">
      <c r="A13" s="784"/>
      <c r="B13" s="785" t="s">
        <v>796</v>
      </c>
      <c r="C13" s="742">
        <v>1718</v>
      </c>
      <c r="D13" s="786">
        <v>0</v>
      </c>
      <c r="E13" s="742">
        <v>0</v>
      </c>
      <c r="F13" s="787"/>
    </row>
    <row r="14" spans="1:6" ht="15.75" thickBot="1">
      <c r="A14" s="789"/>
      <c r="B14" s="790" t="s">
        <v>4</v>
      </c>
      <c r="C14" s="747">
        <f>C8+C10</f>
        <v>2683</v>
      </c>
      <c r="D14" s="747">
        <f>D8+D10</f>
        <v>3502</v>
      </c>
      <c r="E14" s="747">
        <f>E8+E10</f>
        <v>3501</v>
      </c>
      <c r="F14" s="791">
        <f>E14/D14</f>
        <v>0.9997144488863506</v>
      </c>
    </row>
  </sheetData>
  <sheetProtection/>
  <mergeCells count="2"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I20" sqref="A1:I20"/>
    </sheetView>
  </sheetViews>
  <sheetFormatPr defaultColWidth="9.140625" defaultRowHeight="15"/>
  <cols>
    <col min="1" max="1" width="11.00390625" style="1" bestFit="1" customWidth="1"/>
    <col min="2" max="2" width="39.140625" style="1" bestFit="1" customWidth="1"/>
    <col min="3" max="3" width="10.7109375" style="1" customWidth="1"/>
    <col min="4" max="4" width="12.00390625" style="1" hidden="1" customWidth="1"/>
    <col min="5" max="5" width="11.28125" style="1" hidden="1" customWidth="1"/>
    <col min="6" max="6" width="12.28125" style="1" hidden="1" customWidth="1"/>
    <col min="7" max="7" width="12.421875" style="1" customWidth="1"/>
    <col min="8" max="8" width="9.8515625" style="1" customWidth="1"/>
    <col min="9" max="9" width="10.7109375" style="1" customWidth="1"/>
    <col min="10" max="16384" width="9.140625" style="1" customWidth="1"/>
  </cols>
  <sheetData>
    <row r="1" spans="1:2" ht="15">
      <c r="A1" s="68">
        <f>Segély!A1+1</f>
        <v>12</v>
      </c>
      <c r="B1" s="265" t="str">
        <f>Összevont!B1</f>
        <v>. melléklet az 5/2017. (V. 26.) önkormányzati rendelethez</v>
      </c>
    </row>
    <row r="2" spans="1:4" ht="15">
      <c r="A2" s="265"/>
      <c r="B2" s="275"/>
      <c r="C2" s="70"/>
      <c r="D2" s="70"/>
    </row>
    <row r="3" spans="1:9" ht="15">
      <c r="A3" s="880" t="s">
        <v>369</v>
      </c>
      <c r="B3" s="880"/>
      <c r="C3" s="880"/>
      <c r="D3" s="880"/>
      <c r="E3" s="880"/>
      <c r="F3" s="880"/>
      <c r="G3" s="880"/>
      <c r="H3" s="305"/>
      <c r="I3" s="305"/>
    </row>
    <row r="4" spans="1:9" ht="15">
      <c r="A4" s="881" t="str">
        <f>Összevont!A4</f>
        <v>2016. évi zárszámadás</v>
      </c>
      <c r="B4" s="881"/>
      <c r="C4" s="881"/>
      <c r="D4" s="881"/>
      <c r="E4" s="881"/>
      <c r="F4" s="881"/>
      <c r="G4" s="881"/>
      <c r="H4" s="305"/>
      <c r="I4" s="305"/>
    </row>
    <row r="5" spans="1:9" ht="15">
      <c r="A5" s="588"/>
      <c r="B5" s="588"/>
      <c r="C5" s="588"/>
      <c r="D5" s="588"/>
      <c r="E5" s="588"/>
      <c r="F5" s="305"/>
      <c r="G5" s="305"/>
      <c r="H5" s="305"/>
      <c r="I5" s="305"/>
    </row>
    <row r="6" spans="1:9" ht="15.75" thickBot="1">
      <c r="A6" s="589"/>
      <c r="B6" s="589"/>
      <c r="C6" s="590"/>
      <c r="D6" s="305"/>
      <c r="E6" s="305"/>
      <c r="F6" s="305"/>
      <c r="G6" s="304" t="s">
        <v>363</v>
      </c>
      <c r="H6" s="305"/>
      <c r="I6" s="305"/>
    </row>
    <row r="7" spans="1:9" ht="24">
      <c r="A7" s="591" t="s">
        <v>274</v>
      </c>
      <c r="B7" s="592" t="s">
        <v>213</v>
      </c>
      <c r="C7" s="592" t="s">
        <v>322</v>
      </c>
      <c r="D7" s="593" t="s">
        <v>356</v>
      </c>
      <c r="E7" s="593" t="s">
        <v>366</v>
      </c>
      <c r="F7" s="593" t="s">
        <v>367</v>
      </c>
      <c r="G7" s="594" t="s">
        <v>359</v>
      </c>
      <c r="H7" s="593" t="s">
        <v>398</v>
      </c>
      <c r="I7" s="595" t="s">
        <v>399</v>
      </c>
    </row>
    <row r="8" spans="1:9" ht="15">
      <c r="A8" s="596">
        <v>1</v>
      </c>
      <c r="B8" s="597" t="s">
        <v>351</v>
      </c>
      <c r="C8" s="598">
        <f>398000+108000</f>
        <v>506000</v>
      </c>
      <c r="D8" s="599"/>
      <c r="E8" s="599"/>
      <c r="F8" s="599"/>
      <c r="G8" s="417">
        <f>D8+C8</f>
        <v>506000</v>
      </c>
      <c r="H8" s="328">
        <v>354584</v>
      </c>
      <c r="I8" s="450">
        <f>H8/G8</f>
        <v>0.7007588932806325</v>
      </c>
    </row>
    <row r="9" spans="1:9" ht="15">
      <c r="A9" s="596">
        <v>2</v>
      </c>
      <c r="B9" s="597" t="s">
        <v>368</v>
      </c>
      <c r="C9" s="598">
        <v>0</v>
      </c>
      <c r="D9" s="328">
        <v>4048966</v>
      </c>
      <c r="E9" s="599"/>
      <c r="F9" s="599"/>
      <c r="G9" s="417">
        <f aca="true" t="shared" si="0" ref="G9:G19">D9+C9</f>
        <v>4048966</v>
      </c>
      <c r="H9" s="328">
        <f>80645+209550+106680+200999+146050+198205+35560+2350000+254000+157699+3500+64010</f>
        <v>3806898</v>
      </c>
      <c r="I9" s="450">
        <f>H9/G9</f>
        <v>0.9402148597938338</v>
      </c>
    </row>
    <row r="10" spans="1:9" ht="15">
      <c r="A10" s="596">
        <v>3</v>
      </c>
      <c r="B10" s="597" t="s">
        <v>455</v>
      </c>
      <c r="C10" s="598">
        <v>0</v>
      </c>
      <c r="D10" s="599"/>
      <c r="E10" s="599"/>
      <c r="F10" s="599"/>
      <c r="G10" s="417">
        <f t="shared" si="0"/>
        <v>0</v>
      </c>
      <c r="H10" s="328">
        <v>179910</v>
      </c>
      <c r="I10" s="450"/>
    </row>
    <row r="11" spans="1:9" ht="15">
      <c r="A11" s="596">
        <v>4</v>
      </c>
      <c r="B11" s="600" t="s">
        <v>456</v>
      </c>
      <c r="C11" s="601">
        <v>0</v>
      </c>
      <c r="D11" s="602"/>
      <c r="E11" s="602"/>
      <c r="F11" s="602"/>
      <c r="G11" s="418">
        <v>0</v>
      </c>
      <c r="H11" s="335">
        <v>13611</v>
      </c>
      <c r="I11" s="451"/>
    </row>
    <row r="12" spans="1:9" ht="15">
      <c r="A12" s="596">
        <v>5</v>
      </c>
      <c r="B12" s="600" t="s">
        <v>457</v>
      </c>
      <c r="C12" s="601">
        <v>0</v>
      </c>
      <c r="D12" s="602"/>
      <c r="E12" s="602"/>
      <c r="F12" s="602"/>
      <c r="G12" s="418">
        <v>0</v>
      </c>
      <c r="H12" s="335">
        <v>17980</v>
      </c>
      <c r="I12" s="451"/>
    </row>
    <row r="13" spans="1:9" ht="15">
      <c r="A13" s="596">
        <v>6</v>
      </c>
      <c r="B13" s="600" t="s">
        <v>458</v>
      </c>
      <c r="C13" s="601">
        <v>0</v>
      </c>
      <c r="D13" s="602"/>
      <c r="E13" s="602"/>
      <c r="F13" s="602"/>
      <c r="G13" s="418">
        <v>0</v>
      </c>
      <c r="H13" s="335">
        <v>159219</v>
      </c>
      <c r="I13" s="451"/>
    </row>
    <row r="14" spans="1:9" ht="15.75" thickBot="1">
      <c r="A14" s="596">
        <v>7</v>
      </c>
      <c r="B14" s="600" t="s">
        <v>459</v>
      </c>
      <c r="C14" s="601">
        <v>0</v>
      </c>
      <c r="D14" s="602"/>
      <c r="E14" s="602"/>
      <c r="F14" s="602"/>
      <c r="G14" s="418">
        <v>0</v>
      </c>
      <c r="H14" s="335">
        <v>67235</v>
      </c>
      <c r="I14" s="451"/>
    </row>
    <row r="15" spans="1:9" ht="15.75" thickBot="1">
      <c r="A15" s="603" t="s">
        <v>96</v>
      </c>
      <c r="B15" s="604" t="s">
        <v>348</v>
      </c>
      <c r="C15" s="605">
        <f>SUM(C8:C14)</f>
        <v>506000</v>
      </c>
      <c r="D15" s="605">
        <f>SUM(D8:D14)</f>
        <v>4048966</v>
      </c>
      <c r="E15" s="606"/>
      <c r="F15" s="606"/>
      <c r="G15" s="419">
        <f t="shared" si="0"/>
        <v>4554966</v>
      </c>
      <c r="H15" s="419">
        <f>SUM(H8:H14)</f>
        <v>4599437</v>
      </c>
      <c r="I15" s="453">
        <f>H15/G15</f>
        <v>1.0097631903289728</v>
      </c>
    </row>
    <row r="16" spans="1:9" ht="15">
      <c r="A16" s="607">
        <v>8</v>
      </c>
      <c r="B16" s="608" t="s">
        <v>352</v>
      </c>
      <c r="C16" s="609">
        <v>200000</v>
      </c>
      <c r="D16" s="610"/>
      <c r="E16" s="610"/>
      <c r="F16" s="610"/>
      <c r="G16" s="416">
        <f t="shared" si="0"/>
        <v>200000</v>
      </c>
      <c r="H16" s="323">
        <v>0</v>
      </c>
      <c r="I16" s="452">
        <v>0</v>
      </c>
    </row>
    <row r="17" spans="1:9" ht="15.75" thickBot="1">
      <c r="A17" s="611">
        <v>9</v>
      </c>
      <c r="B17" s="600" t="s">
        <v>353</v>
      </c>
      <c r="C17" s="612">
        <v>300000</v>
      </c>
      <c r="D17" s="602"/>
      <c r="E17" s="602"/>
      <c r="F17" s="602"/>
      <c r="G17" s="418">
        <f t="shared" si="0"/>
        <v>300000</v>
      </c>
      <c r="H17" s="335">
        <v>0</v>
      </c>
      <c r="I17" s="451">
        <v>0</v>
      </c>
    </row>
    <row r="18" spans="1:9" ht="15.75" thickBot="1">
      <c r="A18" s="613" t="s">
        <v>96</v>
      </c>
      <c r="B18" s="604" t="s">
        <v>349</v>
      </c>
      <c r="C18" s="614">
        <f>C16+C17</f>
        <v>500000</v>
      </c>
      <c r="D18" s="615"/>
      <c r="E18" s="615"/>
      <c r="F18" s="615"/>
      <c r="G18" s="419">
        <f t="shared" si="0"/>
        <v>500000</v>
      </c>
      <c r="H18" s="337">
        <f>H16+H17</f>
        <v>0</v>
      </c>
      <c r="I18" s="453">
        <v>0</v>
      </c>
    </row>
    <row r="19" spans="1:9" ht="15.75" thickBot="1">
      <c r="A19" s="616" t="s">
        <v>96</v>
      </c>
      <c r="B19" s="617" t="s">
        <v>350</v>
      </c>
      <c r="C19" s="618">
        <f>C18+C15</f>
        <v>1006000</v>
      </c>
      <c r="D19" s="618">
        <f>D18+D15</f>
        <v>4048966</v>
      </c>
      <c r="E19" s="619"/>
      <c r="F19" s="619"/>
      <c r="G19" s="620">
        <f t="shared" si="0"/>
        <v>5054966</v>
      </c>
      <c r="H19" s="620">
        <f>H18+H15</f>
        <v>4599437</v>
      </c>
      <c r="I19" s="453">
        <f>H19/G19</f>
        <v>0.9098848538249318</v>
      </c>
    </row>
  </sheetData>
  <sheetProtection/>
  <mergeCells count="2">
    <mergeCell ref="A3:G3"/>
    <mergeCell ref="A4:G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7">
      <selection activeCell="I18" sqref="A1:I18"/>
    </sheetView>
  </sheetViews>
  <sheetFormatPr defaultColWidth="9.140625" defaultRowHeight="15"/>
  <cols>
    <col min="1" max="1" width="8.28125" style="0" bestFit="1" customWidth="1"/>
    <col min="2" max="2" width="25.00390625" style="0" customWidth="1"/>
    <col min="3" max="3" width="13.28125" style="0" bestFit="1" customWidth="1"/>
    <col min="4" max="6" width="11.00390625" style="0" hidden="1" customWidth="1"/>
    <col min="7" max="7" width="11.00390625" style="0" customWidth="1"/>
    <col min="8" max="8" width="9.8515625" style="0" customWidth="1"/>
    <col min="9" max="9" width="10.7109375" style="0" customWidth="1"/>
  </cols>
  <sheetData>
    <row r="1" spans="1:4" ht="15">
      <c r="A1" s="68">
        <f>Felhalmozási!A1+1</f>
        <v>13</v>
      </c>
      <c r="B1" s="265" t="str">
        <f>'Intézményen kívüli étkezés'!B1</f>
        <v>. melléklet az 5/2017. (V. 26.) önkormányzati rendelethez</v>
      </c>
      <c r="C1" s="265"/>
      <c r="D1" s="265"/>
    </row>
    <row r="2" spans="1:6" ht="15">
      <c r="A2" s="860"/>
      <c r="B2" s="860"/>
      <c r="C2" s="860"/>
      <c r="D2" s="860"/>
      <c r="E2" s="529"/>
      <c r="F2" s="529"/>
    </row>
    <row r="3" spans="1:9" ht="15">
      <c r="A3" s="882" t="s">
        <v>325</v>
      </c>
      <c r="B3" s="882"/>
      <c r="C3" s="882"/>
      <c r="D3" s="882"/>
      <c r="E3" s="882"/>
      <c r="F3" s="882"/>
      <c r="G3" s="882"/>
      <c r="H3" s="882"/>
      <c r="I3" s="882"/>
    </row>
    <row r="4" spans="1:9" ht="15">
      <c r="A4" s="882" t="str">
        <f>'Intézményen kívüli étkezés'!A4:K4</f>
        <v>2016. évi zárszámadás</v>
      </c>
      <c r="B4" s="882"/>
      <c r="C4" s="882"/>
      <c r="D4" s="882"/>
      <c r="E4" s="882"/>
      <c r="F4" s="882"/>
      <c r="G4" s="882"/>
      <c r="H4" s="882"/>
      <c r="I4" s="882"/>
    </row>
    <row r="6" spans="1:8" ht="15.75" thickBot="1">
      <c r="A6" s="1"/>
      <c r="B6" s="1"/>
      <c r="C6" s="1"/>
      <c r="D6" s="1"/>
      <c r="E6" s="1"/>
      <c r="F6" s="1"/>
      <c r="G6" s="530"/>
      <c r="H6" s="530" t="s">
        <v>363</v>
      </c>
    </row>
    <row r="7" spans="1:9" s="270" customFormat="1" ht="30" customHeight="1" thickBot="1">
      <c r="A7" s="271" t="s">
        <v>274</v>
      </c>
      <c r="B7" s="272" t="s">
        <v>315</v>
      </c>
      <c r="C7" s="273" t="s">
        <v>322</v>
      </c>
      <c r="D7" s="273" t="s">
        <v>356</v>
      </c>
      <c r="E7" s="274" t="s">
        <v>357</v>
      </c>
      <c r="F7" s="274" t="s">
        <v>358</v>
      </c>
      <c r="G7" s="561" t="s">
        <v>359</v>
      </c>
      <c r="H7" s="562" t="s">
        <v>398</v>
      </c>
      <c r="I7" s="563" t="s">
        <v>399</v>
      </c>
    </row>
    <row r="8" spans="1:9" ht="47.25">
      <c r="A8" s="166">
        <v>1</v>
      </c>
      <c r="B8" s="192" t="s">
        <v>313</v>
      </c>
      <c r="C8" s="565">
        <f>510000+96000</f>
        <v>606000</v>
      </c>
      <c r="D8" s="565"/>
      <c r="E8" s="566"/>
      <c r="F8" s="566"/>
      <c r="G8" s="566">
        <f>C8+D8</f>
        <v>606000</v>
      </c>
      <c r="H8" s="567">
        <f>47520+255000+47520+182400</f>
        <v>532440</v>
      </c>
      <c r="I8" s="568">
        <f>H8/G8</f>
        <v>0.8786138613861386</v>
      </c>
    </row>
    <row r="9" spans="1:9" ht="30">
      <c r="A9" s="167">
        <v>2</v>
      </c>
      <c r="B9" s="168" t="s">
        <v>316</v>
      </c>
      <c r="C9" s="569">
        <v>78000</v>
      </c>
      <c r="D9" s="569"/>
      <c r="E9" s="570"/>
      <c r="F9" s="570"/>
      <c r="G9" s="571">
        <f>C9+D9</f>
        <v>78000</v>
      </c>
      <c r="H9" s="572">
        <v>0</v>
      </c>
      <c r="I9" s="573">
        <f>H9/G9</f>
        <v>0</v>
      </c>
    </row>
    <row r="10" spans="1:9" ht="31.5">
      <c r="A10" s="167">
        <v>3</v>
      </c>
      <c r="B10" s="187" t="s">
        <v>314</v>
      </c>
      <c r="C10" s="574">
        <v>26000</v>
      </c>
      <c r="D10" s="574"/>
      <c r="E10" s="575"/>
      <c r="F10" s="575"/>
      <c r="G10" s="576">
        <f>C10+D10</f>
        <v>26000</v>
      </c>
      <c r="H10" s="572">
        <f>64728+60726</f>
        <v>125454</v>
      </c>
      <c r="I10" s="573">
        <f>H10/G10</f>
        <v>4.825153846153846</v>
      </c>
    </row>
    <row r="11" spans="1:9" ht="31.5">
      <c r="A11" s="188">
        <v>4</v>
      </c>
      <c r="B11" s="189" t="s">
        <v>327</v>
      </c>
      <c r="C11" s="574">
        <v>150000</v>
      </c>
      <c r="D11" s="574">
        <v>500000</v>
      </c>
      <c r="E11" s="575"/>
      <c r="F11" s="575"/>
      <c r="G11" s="576">
        <f>C11+D11</f>
        <v>650000</v>
      </c>
      <c r="H11" s="577">
        <v>650000</v>
      </c>
      <c r="I11" s="573">
        <f>H11/G11</f>
        <v>1</v>
      </c>
    </row>
    <row r="12" spans="1:9" ht="31.5">
      <c r="A12" s="167">
        <v>5</v>
      </c>
      <c r="B12" s="187" t="s">
        <v>451</v>
      </c>
      <c r="C12" s="569"/>
      <c r="D12" s="569"/>
      <c r="E12" s="569"/>
      <c r="F12" s="569"/>
      <c r="G12" s="578"/>
      <c r="H12" s="572">
        <v>7040</v>
      </c>
      <c r="I12" s="573"/>
    </row>
    <row r="13" spans="1:9" ht="47.25">
      <c r="A13" s="167">
        <v>6</v>
      </c>
      <c r="B13" s="187" t="s">
        <v>452</v>
      </c>
      <c r="C13" s="569"/>
      <c r="D13" s="569"/>
      <c r="E13" s="569"/>
      <c r="F13" s="569"/>
      <c r="G13" s="578"/>
      <c r="H13" s="572">
        <v>152030</v>
      </c>
      <c r="I13" s="573"/>
    </row>
    <row r="14" spans="1:9" ht="15.75">
      <c r="A14" s="188">
        <v>7</v>
      </c>
      <c r="B14" s="189" t="s">
        <v>453</v>
      </c>
      <c r="C14" s="574"/>
      <c r="D14" s="574"/>
      <c r="E14" s="574"/>
      <c r="F14" s="574"/>
      <c r="G14" s="579"/>
      <c r="H14" s="577">
        <v>7975</v>
      </c>
      <c r="I14" s="573"/>
    </row>
    <row r="15" spans="1:9" ht="16.5" thickBot="1">
      <c r="A15" s="167">
        <v>8</v>
      </c>
      <c r="B15" s="564" t="s">
        <v>454</v>
      </c>
      <c r="C15" s="580"/>
      <c r="D15" s="580"/>
      <c r="E15" s="580"/>
      <c r="F15" s="580"/>
      <c r="G15" s="581"/>
      <c r="H15" s="582">
        <v>10000</v>
      </c>
      <c r="I15" s="583"/>
    </row>
    <row r="16" spans="1:9" ht="15.75" thickBot="1">
      <c r="A16" s="190"/>
      <c r="B16" s="191" t="s">
        <v>4</v>
      </c>
      <c r="C16" s="584">
        <f>SUM(C8:C11)</f>
        <v>860000</v>
      </c>
      <c r="D16" s="584">
        <f>SUM(D8:D11)</f>
        <v>500000</v>
      </c>
      <c r="E16" s="585"/>
      <c r="F16" s="585"/>
      <c r="G16" s="585">
        <f>SUM(G8:G11)</f>
        <v>1360000</v>
      </c>
      <c r="H16" s="586">
        <f>SUM(H8:H15)</f>
        <v>1484939</v>
      </c>
      <c r="I16" s="587">
        <f>H16/G16</f>
        <v>1.091866911764706</v>
      </c>
    </row>
  </sheetData>
  <sheetProtection/>
  <mergeCells count="3">
    <mergeCell ref="A2:D2"/>
    <mergeCell ref="A3:I3"/>
    <mergeCell ref="A4:I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12" sqref="R12"/>
    </sheetView>
  </sheetViews>
  <sheetFormatPr defaultColWidth="9.140625" defaultRowHeight="15"/>
  <cols>
    <col min="2" max="2" width="10.7109375" style="0" customWidth="1"/>
  </cols>
  <sheetData>
    <row r="1" spans="1:5" ht="15">
      <c r="A1">
        <f>Közvilágítás!A1+5</f>
        <v>13</v>
      </c>
      <c r="B1" s="64">
        <f>Ovi!B2</f>
        <v>0</v>
      </c>
      <c r="C1" s="64"/>
      <c r="D1" s="64"/>
      <c r="E1" s="64"/>
    </row>
    <row r="2" spans="1:15" ht="15">
      <c r="A2" s="883" t="s">
        <v>324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</row>
    <row r="3" spans="1:15" ht="1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884"/>
      <c r="O3" s="884"/>
    </row>
    <row r="4" spans="1:15" ht="15.75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 t="s">
        <v>227</v>
      </c>
    </row>
    <row r="5" spans="1:15" ht="15">
      <c r="A5" s="98"/>
      <c r="B5" s="99" t="s">
        <v>213</v>
      </c>
      <c r="C5" s="99" t="s">
        <v>228</v>
      </c>
      <c r="D5" s="99" t="s">
        <v>229</v>
      </c>
      <c r="E5" s="99" t="s">
        <v>230</v>
      </c>
      <c r="F5" s="99" t="s">
        <v>231</v>
      </c>
      <c r="G5" s="99" t="s">
        <v>232</v>
      </c>
      <c r="H5" s="99" t="s">
        <v>233</v>
      </c>
      <c r="I5" s="99" t="s">
        <v>234</v>
      </c>
      <c r="J5" s="99" t="s">
        <v>235</v>
      </c>
      <c r="K5" s="99" t="s">
        <v>236</v>
      </c>
      <c r="L5" s="99" t="s">
        <v>237</v>
      </c>
      <c r="M5" s="99" t="s">
        <v>238</v>
      </c>
      <c r="N5" s="99" t="s">
        <v>239</v>
      </c>
      <c r="O5" s="100" t="s">
        <v>4</v>
      </c>
    </row>
    <row r="6" spans="1:15" ht="15">
      <c r="A6" s="885" t="s">
        <v>44</v>
      </c>
      <c r="B6" s="885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5" ht="19.5">
      <c r="A7" s="103" t="s">
        <v>240</v>
      </c>
      <c r="B7" s="104" t="s">
        <v>241</v>
      </c>
      <c r="C7" s="105">
        <f>22916/12+156</f>
        <v>2065.666666666667</v>
      </c>
      <c r="D7" s="105">
        <f aca="true" t="shared" si="0" ref="D7:N7">22916/12</f>
        <v>1909.6666666666667</v>
      </c>
      <c r="E7" s="105">
        <f t="shared" si="0"/>
        <v>1909.6666666666667</v>
      </c>
      <c r="F7" s="105">
        <f t="shared" si="0"/>
        <v>1909.6666666666667</v>
      </c>
      <c r="G7" s="105">
        <f t="shared" si="0"/>
        <v>1909.6666666666667</v>
      </c>
      <c r="H7" s="105">
        <f t="shared" si="0"/>
        <v>1909.6666666666667</v>
      </c>
      <c r="I7" s="105">
        <f t="shared" si="0"/>
        <v>1909.6666666666667</v>
      </c>
      <c r="J7" s="105">
        <f t="shared" si="0"/>
        <v>1909.6666666666667</v>
      </c>
      <c r="K7" s="105">
        <f t="shared" si="0"/>
        <v>1909.6666666666667</v>
      </c>
      <c r="L7" s="105">
        <f t="shared" si="0"/>
        <v>1909.6666666666667</v>
      </c>
      <c r="M7" s="105">
        <f t="shared" si="0"/>
        <v>1909.6666666666667</v>
      </c>
      <c r="N7" s="105">
        <f t="shared" si="0"/>
        <v>1909.6666666666667</v>
      </c>
      <c r="O7" s="106">
        <f>SUM(C7:N7)</f>
        <v>23072.000000000004</v>
      </c>
    </row>
    <row r="8" spans="1:15" ht="19.5">
      <c r="A8" s="103" t="s">
        <v>242</v>
      </c>
      <c r="B8" s="104" t="s">
        <v>243</v>
      </c>
      <c r="C8" s="105">
        <v>43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>
        <f aca="true" t="shared" si="1" ref="O8:O15">SUM(C8:N8)</f>
        <v>43</v>
      </c>
    </row>
    <row r="9" spans="1:15" ht="19.5">
      <c r="A9" s="107" t="s">
        <v>244</v>
      </c>
      <c r="B9" s="108" t="s">
        <v>245</v>
      </c>
      <c r="C9" s="109">
        <v>85</v>
      </c>
      <c r="D9" s="109">
        <v>85</v>
      </c>
      <c r="E9" s="109">
        <v>1100</v>
      </c>
      <c r="F9" s="109">
        <v>85</v>
      </c>
      <c r="G9" s="109">
        <v>85</v>
      </c>
      <c r="H9" s="109">
        <v>85</v>
      </c>
      <c r="I9" s="109">
        <v>85</v>
      </c>
      <c r="J9" s="110">
        <v>85</v>
      </c>
      <c r="K9" s="110">
        <v>1315</v>
      </c>
      <c r="L9" s="110">
        <v>85</v>
      </c>
      <c r="M9" s="110">
        <v>85</v>
      </c>
      <c r="N9" s="110">
        <v>85</v>
      </c>
      <c r="O9" s="106">
        <f>SUM(C9:N9)</f>
        <v>3265</v>
      </c>
    </row>
    <row r="10" spans="1:15" ht="19.5">
      <c r="A10" s="111" t="s">
        <v>246</v>
      </c>
      <c r="B10" s="108" t="s">
        <v>247</v>
      </c>
      <c r="C10" s="109">
        <f>200+92+43</f>
        <v>335</v>
      </c>
      <c r="D10" s="109">
        <v>92</v>
      </c>
      <c r="E10" s="109">
        <v>92</v>
      </c>
      <c r="F10" s="109">
        <v>92</v>
      </c>
      <c r="G10" s="109">
        <f>500+92</f>
        <v>592</v>
      </c>
      <c r="H10" s="109">
        <v>92</v>
      </c>
      <c r="I10" s="109">
        <v>92</v>
      </c>
      <c r="J10" s="109">
        <v>92</v>
      </c>
      <c r="K10" s="109">
        <v>92</v>
      </c>
      <c r="L10" s="109">
        <v>92</v>
      </c>
      <c r="M10" s="109">
        <v>92</v>
      </c>
      <c r="N10" s="109">
        <v>92</v>
      </c>
      <c r="O10" s="106">
        <f t="shared" si="1"/>
        <v>1847</v>
      </c>
    </row>
    <row r="11" spans="1:15" ht="19.5">
      <c r="A11" s="103" t="s">
        <v>248</v>
      </c>
      <c r="B11" s="104" t="s">
        <v>249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f t="shared" si="1"/>
        <v>0</v>
      </c>
    </row>
    <row r="12" spans="1:15" ht="29.25">
      <c r="A12" s="111" t="s">
        <v>250</v>
      </c>
      <c r="B12" s="108" t="s">
        <v>251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06">
        <f t="shared" si="1"/>
        <v>0</v>
      </c>
    </row>
    <row r="13" spans="1:15" ht="19.5">
      <c r="A13" s="111" t="s">
        <v>252</v>
      </c>
      <c r="B13" s="108" t="s">
        <v>253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06">
        <f t="shared" si="1"/>
        <v>0</v>
      </c>
    </row>
    <row r="14" spans="1:15" ht="19.5">
      <c r="A14" s="103" t="s">
        <v>254</v>
      </c>
      <c r="B14" s="104" t="s">
        <v>255</v>
      </c>
      <c r="C14" s="105">
        <v>9971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>
        <f t="shared" si="1"/>
        <v>9971</v>
      </c>
    </row>
    <row r="15" spans="1:15" ht="20.25" thickBot="1">
      <c r="A15" s="112" t="s">
        <v>96</v>
      </c>
      <c r="B15" s="113" t="s">
        <v>256</v>
      </c>
      <c r="C15" s="114">
        <v>9971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06">
        <f t="shared" si="1"/>
        <v>9971</v>
      </c>
    </row>
    <row r="16" spans="1:15" ht="15.75" thickBot="1">
      <c r="A16" s="886" t="s">
        <v>257</v>
      </c>
      <c r="B16" s="887"/>
      <c r="C16" s="115">
        <f>SUM(C7:C14)</f>
        <v>12499.666666666668</v>
      </c>
      <c r="D16" s="115">
        <f aca="true" t="shared" si="2" ref="D16:N16">SUM(D7:D14)</f>
        <v>2086.666666666667</v>
      </c>
      <c r="E16" s="115">
        <f t="shared" si="2"/>
        <v>3101.666666666667</v>
      </c>
      <c r="F16" s="115">
        <f t="shared" si="2"/>
        <v>2086.666666666667</v>
      </c>
      <c r="G16" s="115">
        <f t="shared" si="2"/>
        <v>2586.666666666667</v>
      </c>
      <c r="H16" s="115">
        <f t="shared" si="2"/>
        <v>2086.666666666667</v>
      </c>
      <c r="I16" s="115">
        <f t="shared" si="2"/>
        <v>2086.666666666667</v>
      </c>
      <c r="J16" s="115">
        <f t="shared" si="2"/>
        <v>2086.666666666667</v>
      </c>
      <c r="K16" s="115">
        <f t="shared" si="2"/>
        <v>3316.666666666667</v>
      </c>
      <c r="L16" s="115">
        <f t="shared" si="2"/>
        <v>2086.666666666667</v>
      </c>
      <c r="M16" s="115">
        <f t="shared" si="2"/>
        <v>2086.666666666667</v>
      </c>
      <c r="N16" s="115">
        <f t="shared" si="2"/>
        <v>2086.666666666667</v>
      </c>
      <c r="O16" s="116">
        <f>SUM(O7:O14)</f>
        <v>38198</v>
      </c>
    </row>
    <row r="17" spans="1:15" ht="15">
      <c r="A17" s="888" t="s">
        <v>48</v>
      </c>
      <c r="B17" s="889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1:15" ht="19.5">
      <c r="A18" s="103" t="s">
        <v>258</v>
      </c>
      <c r="B18" s="104" t="s">
        <v>259</v>
      </c>
      <c r="C18" s="105">
        <f>18375/12</f>
        <v>1531.25</v>
      </c>
      <c r="D18" s="105">
        <f aca="true" t="shared" si="3" ref="D18:N18">18375/12</f>
        <v>1531.25</v>
      </c>
      <c r="E18" s="105">
        <f t="shared" si="3"/>
        <v>1531.25</v>
      </c>
      <c r="F18" s="105">
        <f t="shared" si="3"/>
        <v>1531.25</v>
      </c>
      <c r="G18" s="105">
        <f t="shared" si="3"/>
        <v>1531.25</v>
      </c>
      <c r="H18" s="105">
        <f t="shared" si="3"/>
        <v>1531.25</v>
      </c>
      <c r="I18" s="105">
        <f t="shared" si="3"/>
        <v>1531.25</v>
      </c>
      <c r="J18" s="105">
        <f t="shared" si="3"/>
        <v>1531.25</v>
      </c>
      <c r="K18" s="105">
        <f t="shared" si="3"/>
        <v>1531.25</v>
      </c>
      <c r="L18" s="105">
        <f t="shared" si="3"/>
        <v>1531.25</v>
      </c>
      <c r="M18" s="105">
        <f t="shared" si="3"/>
        <v>1531.25</v>
      </c>
      <c r="N18" s="105">
        <f t="shared" si="3"/>
        <v>1531.25</v>
      </c>
      <c r="O18" s="106">
        <f>SUM(C18:N18)</f>
        <v>18375</v>
      </c>
    </row>
    <row r="19" spans="1:15" ht="19.5">
      <c r="A19" s="103" t="s">
        <v>260</v>
      </c>
      <c r="B19" s="104" t="s">
        <v>261</v>
      </c>
      <c r="C19" s="105">
        <f>3950/12</f>
        <v>329.1666666666667</v>
      </c>
      <c r="D19" s="105">
        <f aca="true" t="shared" si="4" ref="D19:N19">3950/12</f>
        <v>329.1666666666667</v>
      </c>
      <c r="E19" s="105">
        <f t="shared" si="4"/>
        <v>329.1666666666667</v>
      </c>
      <c r="F19" s="105">
        <f t="shared" si="4"/>
        <v>329.1666666666667</v>
      </c>
      <c r="G19" s="105">
        <f t="shared" si="4"/>
        <v>329.1666666666667</v>
      </c>
      <c r="H19" s="105">
        <f t="shared" si="4"/>
        <v>329.1666666666667</v>
      </c>
      <c r="I19" s="105">
        <f t="shared" si="4"/>
        <v>329.1666666666667</v>
      </c>
      <c r="J19" s="105">
        <f t="shared" si="4"/>
        <v>329.1666666666667</v>
      </c>
      <c r="K19" s="105">
        <f t="shared" si="4"/>
        <v>329.1666666666667</v>
      </c>
      <c r="L19" s="105">
        <f t="shared" si="4"/>
        <v>329.1666666666667</v>
      </c>
      <c r="M19" s="105">
        <f t="shared" si="4"/>
        <v>329.1666666666667</v>
      </c>
      <c r="N19" s="105">
        <f t="shared" si="4"/>
        <v>329.1666666666667</v>
      </c>
      <c r="O19" s="106">
        <f aca="true" t="shared" si="5" ref="O19:O26">SUM(C19:N19)</f>
        <v>3949.9999999999995</v>
      </c>
    </row>
    <row r="20" spans="1:15" ht="15">
      <c r="A20" s="103" t="s">
        <v>262</v>
      </c>
      <c r="B20" s="104" t="s">
        <v>263</v>
      </c>
      <c r="C20" s="105">
        <f>9460/12+43</f>
        <v>831.3333333333334</v>
      </c>
      <c r="D20" s="105">
        <f>9460/12+43</f>
        <v>831.3333333333334</v>
      </c>
      <c r="E20" s="105">
        <f>9460/12+43</f>
        <v>831.3333333333334</v>
      </c>
      <c r="F20" s="105">
        <f>9460/12+43</f>
        <v>831.3333333333334</v>
      </c>
      <c r="G20" s="105">
        <f>9460/12+43</f>
        <v>831.3333333333334</v>
      </c>
      <c r="H20" s="105">
        <f aca="true" t="shared" si="6" ref="H20:N20">9460/12</f>
        <v>788.3333333333334</v>
      </c>
      <c r="I20" s="105">
        <f t="shared" si="6"/>
        <v>788.3333333333334</v>
      </c>
      <c r="J20" s="105">
        <f t="shared" si="6"/>
        <v>788.3333333333334</v>
      </c>
      <c r="K20" s="105">
        <f t="shared" si="6"/>
        <v>788.3333333333334</v>
      </c>
      <c r="L20" s="105">
        <f t="shared" si="6"/>
        <v>788.3333333333334</v>
      </c>
      <c r="M20" s="105">
        <f t="shared" si="6"/>
        <v>788.3333333333334</v>
      </c>
      <c r="N20" s="105">
        <f t="shared" si="6"/>
        <v>788.3333333333334</v>
      </c>
      <c r="O20" s="106">
        <f t="shared" si="5"/>
        <v>9675</v>
      </c>
    </row>
    <row r="21" spans="1:15" ht="19.5">
      <c r="A21" s="103" t="s">
        <v>264</v>
      </c>
      <c r="B21" s="104" t="s">
        <v>265</v>
      </c>
      <c r="C21" s="105"/>
      <c r="D21" s="105"/>
      <c r="E21" s="105">
        <f>2473/10</f>
        <v>247.3</v>
      </c>
      <c r="F21" s="105">
        <f aca="true" t="shared" si="7" ref="F21:N21">2473/10</f>
        <v>247.3</v>
      </c>
      <c r="G21" s="105">
        <f t="shared" si="7"/>
        <v>247.3</v>
      </c>
      <c r="H21" s="105">
        <f t="shared" si="7"/>
        <v>247.3</v>
      </c>
      <c r="I21" s="105">
        <f t="shared" si="7"/>
        <v>247.3</v>
      </c>
      <c r="J21" s="105">
        <f t="shared" si="7"/>
        <v>247.3</v>
      </c>
      <c r="K21" s="105">
        <f t="shared" si="7"/>
        <v>247.3</v>
      </c>
      <c r="L21" s="105">
        <f t="shared" si="7"/>
        <v>247.3</v>
      </c>
      <c r="M21" s="105">
        <f t="shared" si="7"/>
        <v>247.3</v>
      </c>
      <c r="N21" s="105">
        <f t="shared" si="7"/>
        <v>247.3</v>
      </c>
      <c r="O21" s="106">
        <f t="shared" si="5"/>
        <v>2473</v>
      </c>
    </row>
    <row r="22" spans="1:15" ht="29.25">
      <c r="A22" s="103" t="s">
        <v>266</v>
      </c>
      <c r="B22" s="104" t="s">
        <v>267</v>
      </c>
      <c r="C22" s="105">
        <v>18</v>
      </c>
      <c r="D22" s="105">
        <v>191</v>
      </c>
      <c r="E22" s="105">
        <f>150+72</f>
        <v>222</v>
      </c>
      <c r="F22" s="105">
        <f>72+300</f>
        <v>372</v>
      </c>
      <c r="G22" s="105">
        <v>72</v>
      </c>
      <c r="H22" s="105">
        <f>48+26+39+72</f>
        <v>185</v>
      </c>
      <c r="I22" s="105">
        <f>72+300</f>
        <v>372</v>
      </c>
      <c r="J22" s="105">
        <v>72</v>
      </c>
      <c r="K22" s="105">
        <v>72</v>
      </c>
      <c r="L22" s="105">
        <f>72+300</f>
        <v>372</v>
      </c>
      <c r="M22" s="105">
        <v>72</v>
      </c>
      <c r="N22" s="105">
        <f>48+39+72</f>
        <v>159</v>
      </c>
      <c r="O22" s="106">
        <f>SUM(C22:N22)</f>
        <v>2179</v>
      </c>
    </row>
    <row r="23" spans="1:15" ht="19.5">
      <c r="A23" s="103" t="s">
        <v>96</v>
      </c>
      <c r="B23" s="104" t="s">
        <v>268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1:15" ht="15">
      <c r="A24" s="103" t="s">
        <v>96</v>
      </c>
      <c r="B24" s="104" t="s">
        <v>269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</row>
    <row r="25" spans="1:15" ht="15">
      <c r="A25" s="112" t="s">
        <v>270</v>
      </c>
      <c r="B25" s="113" t="s">
        <v>35</v>
      </c>
      <c r="C25" s="114"/>
      <c r="D25" s="114"/>
      <c r="E25" s="114"/>
      <c r="F25" s="114">
        <v>506</v>
      </c>
      <c r="G25" s="114"/>
      <c r="H25" s="114"/>
      <c r="I25" s="114"/>
      <c r="J25" s="114"/>
      <c r="K25" s="114"/>
      <c r="L25" s="114"/>
      <c r="M25" s="114"/>
      <c r="N25" s="114"/>
      <c r="O25" s="120">
        <f t="shared" si="5"/>
        <v>506</v>
      </c>
    </row>
    <row r="26" spans="1:15" ht="15">
      <c r="A26" s="179" t="s">
        <v>271</v>
      </c>
      <c r="B26" s="121" t="s">
        <v>37</v>
      </c>
      <c r="C26" s="122"/>
      <c r="D26" s="122"/>
      <c r="E26" s="122"/>
      <c r="F26" s="122"/>
      <c r="G26" s="122">
        <v>200</v>
      </c>
      <c r="H26" s="122">
        <v>300</v>
      </c>
      <c r="I26" s="122"/>
      <c r="J26" s="122"/>
      <c r="K26" s="122"/>
      <c r="L26" s="122"/>
      <c r="M26" s="122"/>
      <c r="N26" s="122"/>
      <c r="O26" s="176">
        <f t="shared" si="5"/>
        <v>500</v>
      </c>
    </row>
    <row r="27" spans="1:15" ht="20.25" thickBot="1">
      <c r="A27" s="180" t="s">
        <v>272</v>
      </c>
      <c r="B27" s="123" t="s">
        <v>41</v>
      </c>
      <c r="C27" s="124">
        <v>135</v>
      </c>
      <c r="D27" s="125"/>
      <c r="E27" s="125"/>
      <c r="F27" s="125">
        <v>135</v>
      </c>
      <c r="G27" s="125"/>
      <c r="H27" s="125"/>
      <c r="I27" s="125">
        <v>135</v>
      </c>
      <c r="J27" s="125"/>
      <c r="K27" s="125"/>
      <c r="L27" s="125">
        <v>135</v>
      </c>
      <c r="M27" s="125"/>
      <c r="N27" s="125"/>
      <c r="O27" s="177">
        <f>SUM(C27:N27)</f>
        <v>540</v>
      </c>
    </row>
    <row r="28" spans="1:15" ht="16.5" thickBot="1" thickTop="1">
      <c r="A28" s="890" t="s">
        <v>273</v>
      </c>
      <c r="B28" s="891"/>
      <c r="C28" s="126">
        <f>SUM(C18:C27)</f>
        <v>2844.75</v>
      </c>
      <c r="D28" s="126">
        <f aca="true" t="shared" si="8" ref="D28:O28">SUM(D18:D27)</f>
        <v>2882.75</v>
      </c>
      <c r="E28" s="126">
        <f t="shared" si="8"/>
        <v>3161.05</v>
      </c>
      <c r="F28" s="126">
        <f>SUM(F18:F27)-100</f>
        <v>3852.05</v>
      </c>
      <c r="G28" s="126">
        <f t="shared" si="8"/>
        <v>3211.05</v>
      </c>
      <c r="H28" s="126">
        <f>SUM(H18:H27)-500</f>
        <v>2881.05</v>
      </c>
      <c r="I28" s="126">
        <f t="shared" si="8"/>
        <v>3403.05</v>
      </c>
      <c r="J28" s="126">
        <f t="shared" si="8"/>
        <v>2968.05</v>
      </c>
      <c r="K28" s="126">
        <f t="shared" si="8"/>
        <v>2968.05</v>
      </c>
      <c r="L28" s="126">
        <f t="shared" si="8"/>
        <v>3403.05</v>
      </c>
      <c r="M28" s="126">
        <f t="shared" si="8"/>
        <v>2968.05</v>
      </c>
      <c r="N28" s="126">
        <f t="shared" si="8"/>
        <v>3055.05</v>
      </c>
      <c r="O28" s="178">
        <f t="shared" si="8"/>
        <v>38198</v>
      </c>
    </row>
    <row r="29" ht="15.75" thickTop="1"/>
  </sheetData>
  <sheetProtection/>
  <mergeCells count="6">
    <mergeCell ref="A2:O2"/>
    <mergeCell ref="N3:O3"/>
    <mergeCell ref="A6:B6"/>
    <mergeCell ref="A16:B16"/>
    <mergeCell ref="A17:B17"/>
    <mergeCell ref="A28:B2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3.57421875" style="0" bestFit="1" customWidth="1"/>
    <col min="2" max="2" width="21.28125" style="0" customWidth="1"/>
    <col min="6" max="6" width="13.28125" style="0" bestFit="1" customWidth="1"/>
  </cols>
  <sheetData>
    <row r="1" spans="1:11" ht="15">
      <c r="A1">
        <f>Közvilágítás!A1+6</f>
        <v>14</v>
      </c>
      <c r="B1" s="64">
        <f>Ovi!B2</f>
        <v>0</v>
      </c>
      <c r="C1" s="64"/>
      <c r="D1" s="64"/>
      <c r="E1" s="64"/>
      <c r="K1" s="72"/>
    </row>
    <row r="3" spans="1:11" ht="15.75">
      <c r="A3" s="892" t="s">
        <v>210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</row>
    <row r="4" spans="1:11" ht="15">
      <c r="A4" s="893" t="s">
        <v>226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</row>
    <row r="5" spans="1:11" ht="15">
      <c r="A5" s="895" t="s">
        <v>211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</row>
    <row r="7" ht="15.75" thickBot="1">
      <c r="I7" t="s">
        <v>212</v>
      </c>
    </row>
    <row r="8" spans="1:10" ht="15.75" thickBot="1">
      <c r="A8" s="897" t="s">
        <v>213</v>
      </c>
      <c r="B8" s="898" t="s">
        <v>214</v>
      </c>
      <c r="C8" s="898"/>
      <c r="D8" s="898"/>
      <c r="E8" s="899" t="s">
        <v>215</v>
      </c>
      <c r="F8" s="899"/>
      <c r="G8" s="899"/>
      <c r="H8" s="897" t="s">
        <v>216</v>
      </c>
      <c r="I8" s="897"/>
      <c r="J8" s="898"/>
    </row>
    <row r="9" spans="1:10" ht="26.25" thickBot="1">
      <c r="A9" s="897"/>
      <c r="B9" s="73" t="s">
        <v>217</v>
      </c>
      <c r="C9" s="74" t="s">
        <v>218</v>
      </c>
      <c r="D9" s="75" t="s">
        <v>219</v>
      </c>
      <c r="E9" s="74" t="s">
        <v>217</v>
      </c>
      <c r="F9" s="74" t="s">
        <v>218</v>
      </c>
      <c r="G9" s="74" t="s">
        <v>219</v>
      </c>
      <c r="H9" s="73" t="s">
        <v>217</v>
      </c>
      <c r="I9" s="74" t="s">
        <v>218</v>
      </c>
      <c r="J9" s="75" t="s">
        <v>219</v>
      </c>
    </row>
    <row r="10" spans="1:10" ht="15.75" thickBot="1">
      <c r="A10" s="76" t="s">
        <v>220</v>
      </c>
      <c r="B10" s="184"/>
      <c r="C10" s="185"/>
      <c r="D10" s="186"/>
      <c r="E10" s="184"/>
      <c r="F10" s="185"/>
      <c r="G10" s="186"/>
      <c r="H10" s="184"/>
      <c r="I10" s="185"/>
      <c r="J10" s="186"/>
    </row>
    <row r="11" spans="1:10" ht="15">
      <c r="A11" s="77" t="s">
        <v>221</v>
      </c>
      <c r="B11" s="78" t="s">
        <v>222</v>
      </c>
      <c r="C11" s="79">
        <v>1</v>
      </c>
      <c r="D11" s="80"/>
      <c r="E11" s="81"/>
      <c r="F11" s="82"/>
      <c r="G11" s="82" t="s">
        <v>96</v>
      </c>
      <c r="H11" s="78"/>
      <c r="I11" s="82"/>
      <c r="J11" s="80"/>
    </row>
    <row r="12" spans="1:10" ht="30">
      <c r="A12" s="83" t="s">
        <v>223</v>
      </c>
      <c r="B12" s="84" t="s">
        <v>224</v>
      </c>
      <c r="C12" s="85">
        <v>1</v>
      </c>
      <c r="D12" s="86">
        <v>12</v>
      </c>
      <c r="E12" s="87" t="s">
        <v>225</v>
      </c>
      <c r="F12" s="183" t="s">
        <v>326</v>
      </c>
      <c r="G12" s="88">
        <v>89</v>
      </c>
      <c r="H12" s="89"/>
      <c r="I12" s="90"/>
      <c r="J12" s="86"/>
    </row>
    <row r="13" spans="1:10" ht="15.75" thickBot="1">
      <c r="A13" s="83" t="s">
        <v>116</v>
      </c>
      <c r="B13" s="89" t="s">
        <v>222</v>
      </c>
      <c r="C13" s="85">
        <v>1</v>
      </c>
      <c r="D13" s="86"/>
      <c r="E13" s="91"/>
      <c r="F13" s="88"/>
      <c r="G13" s="88"/>
      <c r="H13" s="89"/>
      <c r="I13" s="88"/>
      <c r="J13" s="86"/>
    </row>
    <row r="14" spans="1:10" ht="15.75" thickBot="1">
      <c r="A14" s="92" t="s">
        <v>4</v>
      </c>
      <c r="B14" s="93"/>
      <c r="C14" s="94"/>
      <c r="D14" s="95">
        <f>SUM(D11:D13)</f>
        <v>12</v>
      </c>
      <c r="E14" s="96"/>
      <c r="F14" s="96"/>
      <c r="G14" s="96">
        <f>SUM(G11:G13)</f>
        <v>89</v>
      </c>
      <c r="H14" s="93"/>
      <c r="I14" s="96"/>
      <c r="J14" s="95"/>
    </row>
  </sheetData>
  <sheetProtection/>
  <mergeCells count="7">
    <mergeCell ref="A3:K3"/>
    <mergeCell ref="A4:K4"/>
    <mergeCell ref="A5:K5"/>
    <mergeCell ref="A8:A9"/>
    <mergeCell ref="B8:D8"/>
    <mergeCell ref="E8:G8"/>
    <mergeCell ref="H8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57421875" style="0" bestFit="1" customWidth="1"/>
  </cols>
  <sheetData>
    <row r="1" spans="1:2" ht="15">
      <c r="A1" s="70" t="s">
        <v>208</v>
      </c>
      <c r="B1" s="71">
        <v>4011879</v>
      </c>
    </row>
    <row r="2" spans="1:2" ht="15">
      <c r="A2" t="s">
        <v>202</v>
      </c>
      <c r="B2" s="54">
        <f>SUM(B3:B6)</f>
        <v>1539365</v>
      </c>
    </row>
    <row r="3" spans="1:2" ht="15">
      <c r="A3" s="68" t="s">
        <v>203</v>
      </c>
      <c r="B3" s="69">
        <v>241365</v>
      </c>
    </row>
    <row r="4" spans="1:2" ht="15">
      <c r="A4" s="68" t="s">
        <v>204</v>
      </c>
      <c r="B4" s="69">
        <v>399000</v>
      </c>
    </row>
    <row r="5" spans="1:2" ht="15">
      <c r="A5" s="68" t="s">
        <v>205</v>
      </c>
      <c r="B5" s="69">
        <v>179000</v>
      </c>
    </row>
    <row r="6" spans="1:2" ht="15">
      <c r="A6" s="68" t="s">
        <v>328</v>
      </c>
      <c r="B6" s="69">
        <f>60000*12</f>
        <v>720000</v>
      </c>
    </row>
    <row r="7" spans="1:2" ht="15">
      <c r="A7" s="68"/>
      <c r="B7" s="69"/>
    </row>
    <row r="8" spans="1:2" ht="15">
      <c r="A8" t="s">
        <v>329</v>
      </c>
      <c r="B8" s="54">
        <f>B1-B2</f>
        <v>2472514</v>
      </c>
    </row>
    <row r="10" spans="1:2" ht="15">
      <c r="A10" s="68" t="s">
        <v>206</v>
      </c>
      <c r="B10" s="69">
        <v>765000</v>
      </c>
    </row>
    <row r="11" spans="1:2" ht="15">
      <c r="A11" s="68" t="s">
        <v>207</v>
      </c>
      <c r="B11" s="69">
        <v>100000</v>
      </c>
    </row>
    <row r="12" spans="1:2" ht="15">
      <c r="A12" s="68"/>
      <c r="B12" s="69"/>
    </row>
    <row r="14" spans="1:2" ht="15">
      <c r="A14" s="70" t="s">
        <v>201</v>
      </c>
      <c r="B14" s="71">
        <f>B8-B10-B11</f>
        <v>1607514</v>
      </c>
    </row>
    <row r="19" ht="15">
      <c r="B19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5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8.00390625" style="265" bestFit="1" customWidth="1"/>
    <col min="2" max="2" width="56.8515625" style="265" customWidth="1"/>
    <col min="3" max="3" width="11.7109375" style="265" bestFit="1" customWidth="1"/>
    <col min="4" max="4" width="9.57421875" style="265" bestFit="1" customWidth="1"/>
    <col min="5" max="5" width="11.28125" style="265" bestFit="1" customWidth="1"/>
    <col min="6" max="16384" width="9.140625" style="265" customWidth="1"/>
  </cols>
  <sheetData>
    <row r="2" spans="1:6" ht="15.75">
      <c r="A2" s="844" t="s">
        <v>473</v>
      </c>
      <c r="B2" s="844"/>
      <c r="C2" s="844"/>
      <c r="D2" s="844"/>
      <c r="E2" s="844"/>
      <c r="F2" s="373"/>
    </row>
    <row r="3" spans="1:5" ht="15.75">
      <c r="A3" s="844" t="s">
        <v>474</v>
      </c>
      <c r="B3" s="844"/>
      <c r="C3" s="844"/>
      <c r="D3" s="844"/>
      <c r="E3" s="844"/>
    </row>
    <row r="4" spans="1:5" ht="15.75">
      <c r="A4" s="844" t="s">
        <v>777</v>
      </c>
      <c r="B4" s="844"/>
      <c r="C4" s="844"/>
      <c r="D4" s="844"/>
      <c r="E4" s="844"/>
    </row>
    <row r="5" spans="3:4" ht="11.25">
      <c r="C5" s="68"/>
      <c r="D5" s="68"/>
    </row>
    <row r="6" ht="12" thickBot="1">
      <c r="C6" s="68" t="s">
        <v>363</v>
      </c>
    </row>
    <row r="7" spans="1:5" ht="11.25">
      <c r="A7" s="849" t="s">
        <v>274</v>
      </c>
      <c r="B7" s="851" t="s">
        <v>475</v>
      </c>
      <c r="C7" s="853" t="s">
        <v>476</v>
      </c>
      <c r="D7" s="853" t="s">
        <v>195</v>
      </c>
      <c r="E7" s="855" t="s">
        <v>477</v>
      </c>
    </row>
    <row r="8" spans="1:5" ht="11.25">
      <c r="A8" s="850"/>
      <c r="B8" s="852"/>
      <c r="C8" s="854"/>
      <c r="D8" s="854"/>
      <c r="E8" s="856"/>
    </row>
    <row r="9" spans="1:5" ht="12" thickBot="1">
      <c r="A9" s="621" t="s">
        <v>478</v>
      </c>
      <c r="B9" s="622" t="s">
        <v>479</v>
      </c>
      <c r="C9" s="623" t="s">
        <v>480</v>
      </c>
      <c r="D9" s="623" t="s">
        <v>481</v>
      </c>
      <c r="E9" s="624" t="s">
        <v>482</v>
      </c>
    </row>
    <row r="10" spans="1:5" ht="15" customHeight="1" hidden="1">
      <c r="A10" s="625" t="s">
        <v>483</v>
      </c>
      <c r="B10" s="626" t="s">
        <v>484</v>
      </c>
      <c r="C10" s="627"/>
      <c r="D10" s="627"/>
      <c r="E10" s="628"/>
    </row>
    <row r="11" spans="1:5" ht="15" customHeight="1" hidden="1">
      <c r="A11" s="625" t="s">
        <v>485</v>
      </c>
      <c r="B11" s="626" t="s">
        <v>486</v>
      </c>
      <c r="C11" s="627"/>
      <c r="D11" s="627"/>
      <c r="E11" s="628"/>
    </row>
    <row r="12" spans="1:5" ht="15.75" customHeight="1" hidden="1">
      <c r="A12" s="629" t="s">
        <v>487</v>
      </c>
      <c r="B12" s="630" t="s">
        <v>488</v>
      </c>
      <c r="C12" s="631"/>
      <c r="D12" s="631"/>
      <c r="E12" s="628"/>
    </row>
    <row r="13" spans="1:5" ht="15.75" customHeight="1" thickBot="1">
      <c r="A13" s="632" t="s">
        <v>489</v>
      </c>
      <c r="B13" s="633" t="s">
        <v>490</v>
      </c>
      <c r="C13" s="634">
        <v>0</v>
      </c>
      <c r="D13" s="634">
        <v>0</v>
      </c>
      <c r="E13" s="635"/>
    </row>
    <row r="14" spans="1:5" ht="15" customHeight="1" hidden="1">
      <c r="A14" s="636" t="s">
        <v>491</v>
      </c>
      <c r="B14" s="637" t="s">
        <v>492</v>
      </c>
      <c r="C14" s="638"/>
      <c r="D14" s="638"/>
      <c r="E14" s="639"/>
    </row>
    <row r="15" spans="1:5" ht="15" customHeight="1" hidden="1">
      <c r="A15" s="625" t="s">
        <v>493</v>
      </c>
      <c r="B15" s="626" t="s">
        <v>494</v>
      </c>
      <c r="C15" s="640"/>
      <c r="D15" s="640"/>
      <c r="E15" s="641"/>
    </row>
    <row r="16" spans="1:5" ht="15" customHeight="1" hidden="1">
      <c r="A16" s="625" t="s">
        <v>495</v>
      </c>
      <c r="B16" s="626" t="s">
        <v>496</v>
      </c>
      <c r="C16" s="640"/>
      <c r="D16" s="640"/>
      <c r="E16" s="642"/>
    </row>
    <row r="17" spans="1:5" ht="15" customHeight="1" hidden="1">
      <c r="A17" s="625" t="s">
        <v>497</v>
      </c>
      <c r="B17" s="626" t="s">
        <v>498</v>
      </c>
      <c r="C17" s="640"/>
      <c r="D17" s="640"/>
      <c r="E17" s="643"/>
    </row>
    <row r="18" spans="1:5" ht="15.75" customHeight="1" hidden="1">
      <c r="A18" s="629" t="s">
        <v>499</v>
      </c>
      <c r="B18" s="630" t="s">
        <v>500</v>
      </c>
      <c r="C18" s="644"/>
      <c r="D18" s="644"/>
      <c r="E18" s="645"/>
    </row>
    <row r="19" spans="1:5" ht="15.75" customHeight="1" thickBot="1">
      <c r="A19" s="632" t="s">
        <v>501</v>
      </c>
      <c r="B19" s="633" t="s">
        <v>502</v>
      </c>
      <c r="C19" s="634">
        <v>168088079</v>
      </c>
      <c r="D19" s="634">
        <v>251763800</v>
      </c>
      <c r="E19" s="635">
        <f>D19/C19</f>
        <v>1.497808776790173</v>
      </c>
    </row>
    <row r="20" spans="1:5" ht="15" customHeight="1" hidden="1">
      <c r="A20" s="636" t="s">
        <v>503</v>
      </c>
      <c r="B20" s="637" t="s">
        <v>504</v>
      </c>
      <c r="C20" s="638"/>
      <c r="D20" s="638"/>
      <c r="E20" s="646"/>
    </row>
    <row r="21" spans="1:5" ht="15" customHeight="1" hidden="1">
      <c r="A21" s="625" t="s">
        <v>505</v>
      </c>
      <c r="B21" s="647" t="s">
        <v>506</v>
      </c>
      <c r="C21" s="640"/>
      <c r="D21" s="640"/>
      <c r="E21" s="642"/>
    </row>
    <row r="22" spans="1:5" ht="15" customHeight="1" hidden="1">
      <c r="A22" s="625" t="s">
        <v>507</v>
      </c>
      <c r="B22" s="647" t="s">
        <v>508</v>
      </c>
      <c r="C22" s="640"/>
      <c r="D22" s="640"/>
      <c r="E22" s="643"/>
    </row>
    <row r="23" spans="1:5" ht="15" customHeight="1" hidden="1">
      <c r="A23" s="625" t="s">
        <v>509</v>
      </c>
      <c r="B23" s="626" t="s">
        <v>510</v>
      </c>
      <c r="C23" s="640"/>
      <c r="D23" s="640"/>
      <c r="E23" s="641"/>
    </row>
    <row r="24" spans="1:5" ht="15" customHeight="1" hidden="1">
      <c r="A24" s="625" t="s">
        <v>511</v>
      </c>
      <c r="B24" s="647" t="s">
        <v>512</v>
      </c>
      <c r="C24" s="640"/>
      <c r="D24" s="640"/>
      <c r="E24" s="641"/>
    </row>
    <row r="25" spans="1:5" ht="15" customHeight="1" hidden="1">
      <c r="A25" s="625" t="s">
        <v>513</v>
      </c>
      <c r="B25" s="647" t="s">
        <v>514</v>
      </c>
      <c r="C25" s="640"/>
      <c r="D25" s="640"/>
      <c r="E25" s="642"/>
    </row>
    <row r="26" spans="1:5" ht="15.75" customHeight="1" hidden="1">
      <c r="A26" s="629" t="s">
        <v>515</v>
      </c>
      <c r="B26" s="630" t="s">
        <v>516</v>
      </c>
      <c r="C26" s="644"/>
      <c r="D26" s="644"/>
      <c r="E26" s="645"/>
    </row>
    <row r="27" spans="1:5" ht="15.75" customHeight="1" thickBot="1">
      <c r="A27" s="632" t="s">
        <v>517</v>
      </c>
      <c r="B27" s="633" t="s">
        <v>518</v>
      </c>
      <c r="C27" s="634">
        <v>30000</v>
      </c>
      <c r="D27" s="634">
        <v>30000</v>
      </c>
      <c r="E27" s="635">
        <f>D27/C27</f>
        <v>1</v>
      </c>
    </row>
    <row r="28" spans="1:5" ht="15" customHeight="1" hidden="1">
      <c r="A28" s="636" t="s">
        <v>519</v>
      </c>
      <c r="B28" s="637" t="s">
        <v>520</v>
      </c>
      <c r="C28" s="638"/>
      <c r="D28" s="638"/>
      <c r="E28" s="646"/>
    </row>
    <row r="29" spans="1:5" ht="15.75" customHeight="1" hidden="1">
      <c r="A29" s="629" t="s">
        <v>521</v>
      </c>
      <c r="B29" s="630" t="s">
        <v>522</v>
      </c>
      <c r="C29" s="644"/>
      <c r="D29" s="644"/>
      <c r="E29" s="645"/>
    </row>
    <row r="30" spans="1:5" ht="15.75" customHeight="1" thickBot="1">
      <c r="A30" s="632" t="s">
        <v>523</v>
      </c>
      <c r="B30" s="633" t="s">
        <v>524</v>
      </c>
      <c r="C30" s="634"/>
      <c r="D30" s="634"/>
      <c r="E30" s="635"/>
    </row>
    <row r="31" spans="1:5" ht="23.25" thickBot="1">
      <c r="A31" s="648" t="s">
        <v>423</v>
      </c>
      <c r="B31" s="649" t="s">
        <v>525</v>
      </c>
      <c r="C31" s="697">
        <f>SUM(C13:C30)</f>
        <v>168118079</v>
      </c>
      <c r="D31" s="697">
        <f>SUM(D13:D30)</f>
        <v>251793800</v>
      </c>
      <c r="E31" s="698">
        <f>D31/C31</f>
        <v>1.4977199448014153</v>
      </c>
    </row>
    <row r="32" spans="1:5" ht="15" customHeight="1" hidden="1">
      <c r="A32" s="650" t="s">
        <v>526</v>
      </c>
      <c r="B32" s="637" t="s">
        <v>527</v>
      </c>
      <c r="C32" s="638"/>
      <c r="D32" s="638"/>
      <c r="E32" s="646"/>
    </row>
    <row r="33" spans="1:5" ht="15" customHeight="1" hidden="1">
      <c r="A33" s="651" t="s">
        <v>528</v>
      </c>
      <c r="B33" s="626" t="s">
        <v>529</v>
      </c>
      <c r="C33" s="640"/>
      <c r="D33" s="640"/>
      <c r="E33" s="641"/>
    </row>
    <row r="34" spans="1:5" ht="15" customHeight="1" hidden="1">
      <c r="A34" s="651" t="s">
        <v>530</v>
      </c>
      <c r="B34" s="626" t="s">
        <v>531</v>
      </c>
      <c r="C34" s="640"/>
      <c r="D34" s="640"/>
      <c r="E34" s="641"/>
    </row>
    <row r="35" spans="1:5" ht="15" customHeight="1" hidden="1">
      <c r="A35" s="651" t="s">
        <v>532</v>
      </c>
      <c r="B35" s="626" t="s">
        <v>533</v>
      </c>
      <c r="C35" s="640"/>
      <c r="D35" s="640"/>
      <c r="E35" s="641"/>
    </row>
    <row r="36" spans="1:5" ht="15.75" customHeight="1" hidden="1">
      <c r="A36" s="652" t="s">
        <v>534</v>
      </c>
      <c r="B36" s="630" t="s">
        <v>535</v>
      </c>
      <c r="C36" s="644"/>
      <c r="D36" s="644"/>
      <c r="E36" s="645"/>
    </row>
    <row r="37" spans="1:5" ht="15.75" customHeight="1" thickBot="1">
      <c r="A37" s="653" t="s">
        <v>536</v>
      </c>
      <c r="B37" s="654" t="s">
        <v>537</v>
      </c>
      <c r="C37" s="634">
        <v>0</v>
      </c>
      <c r="D37" s="634">
        <v>0</v>
      </c>
      <c r="E37" s="635"/>
    </row>
    <row r="38" spans="1:5" ht="15" customHeight="1" hidden="1">
      <c r="A38" s="650" t="s">
        <v>538</v>
      </c>
      <c r="B38" s="637" t="s">
        <v>539</v>
      </c>
      <c r="C38" s="638"/>
      <c r="D38" s="638"/>
      <c r="E38" s="646"/>
    </row>
    <row r="39" spans="1:5" ht="15" customHeight="1" hidden="1">
      <c r="A39" s="651" t="s">
        <v>540</v>
      </c>
      <c r="B39" s="626" t="s">
        <v>541</v>
      </c>
      <c r="C39" s="640"/>
      <c r="D39" s="640"/>
      <c r="E39" s="641"/>
    </row>
    <row r="40" spans="1:5" ht="15" customHeight="1" hidden="1">
      <c r="A40" s="651" t="s">
        <v>542</v>
      </c>
      <c r="B40" s="647" t="s">
        <v>543</v>
      </c>
      <c r="C40" s="640"/>
      <c r="D40" s="640"/>
      <c r="E40" s="641"/>
    </row>
    <row r="41" spans="1:5" ht="15" customHeight="1" hidden="1">
      <c r="A41" s="651" t="s">
        <v>544</v>
      </c>
      <c r="B41" s="647" t="s">
        <v>545</v>
      </c>
      <c r="C41" s="640"/>
      <c r="D41" s="640"/>
      <c r="E41" s="641"/>
    </row>
    <row r="42" spans="1:5" ht="15" customHeight="1" hidden="1">
      <c r="A42" s="651" t="s">
        <v>546</v>
      </c>
      <c r="B42" s="647" t="s">
        <v>512</v>
      </c>
      <c r="C42" s="640"/>
      <c r="D42" s="640"/>
      <c r="E42" s="641"/>
    </row>
    <row r="43" spans="1:5" ht="15" customHeight="1" hidden="1">
      <c r="A43" s="651" t="s">
        <v>547</v>
      </c>
      <c r="B43" s="647" t="s">
        <v>514</v>
      </c>
      <c r="C43" s="640"/>
      <c r="D43" s="640"/>
      <c r="E43" s="641"/>
    </row>
    <row r="44" spans="1:5" ht="15.75" customHeight="1" hidden="1">
      <c r="A44" s="652" t="s">
        <v>548</v>
      </c>
      <c r="B44" s="655" t="s">
        <v>549</v>
      </c>
      <c r="C44" s="644"/>
      <c r="D44" s="644"/>
      <c r="E44" s="645"/>
    </row>
    <row r="45" spans="1:5" ht="15.75" customHeight="1" thickBot="1">
      <c r="A45" s="653" t="s">
        <v>550</v>
      </c>
      <c r="B45" s="656" t="s">
        <v>551</v>
      </c>
      <c r="C45" s="634">
        <v>0</v>
      </c>
      <c r="D45" s="634">
        <v>0</v>
      </c>
      <c r="E45" s="635"/>
    </row>
    <row r="46" spans="1:5" ht="15.75" customHeight="1" thickBot="1">
      <c r="A46" s="648" t="s">
        <v>437</v>
      </c>
      <c r="B46" s="657" t="s">
        <v>552</v>
      </c>
      <c r="C46" s="697">
        <v>0</v>
      </c>
      <c r="D46" s="697">
        <v>0</v>
      </c>
      <c r="E46" s="698"/>
    </row>
    <row r="47" spans="1:5" ht="15" customHeight="1">
      <c r="A47" s="650" t="s">
        <v>553</v>
      </c>
      <c r="B47" s="658" t="s">
        <v>554</v>
      </c>
      <c r="C47" s="638"/>
      <c r="D47" s="638"/>
      <c r="E47" s="646"/>
    </row>
    <row r="48" spans="1:5" ht="15" customHeight="1">
      <c r="A48" s="651" t="s">
        <v>555</v>
      </c>
      <c r="B48" s="659" t="s">
        <v>556</v>
      </c>
      <c r="C48" s="640"/>
      <c r="D48" s="640">
        <v>510</v>
      </c>
      <c r="E48" s="641"/>
    </row>
    <row r="49" spans="1:5" ht="15" customHeight="1">
      <c r="A49" s="651" t="s">
        <v>557</v>
      </c>
      <c r="B49" s="659" t="s">
        <v>558</v>
      </c>
      <c r="C49" s="640">
        <v>9965180</v>
      </c>
      <c r="D49" s="640">
        <v>30509156</v>
      </c>
      <c r="E49" s="641">
        <f>D49/C49</f>
        <v>3.0615760076586676</v>
      </c>
    </row>
    <row r="50" spans="1:5" ht="15" customHeight="1">
      <c r="A50" s="651" t="s">
        <v>559</v>
      </c>
      <c r="B50" s="659" t="s">
        <v>560</v>
      </c>
      <c r="C50" s="640"/>
      <c r="D50" s="640"/>
      <c r="E50" s="641"/>
    </row>
    <row r="51" spans="1:5" ht="15.75" customHeight="1" thickBot="1">
      <c r="A51" s="652" t="s">
        <v>561</v>
      </c>
      <c r="B51" s="660" t="s">
        <v>562</v>
      </c>
      <c r="C51" s="644"/>
      <c r="D51" s="644"/>
      <c r="E51" s="641"/>
    </row>
    <row r="52" spans="1:5" ht="15.75" customHeight="1" thickBot="1">
      <c r="A52" s="648" t="s">
        <v>439</v>
      </c>
      <c r="B52" s="657" t="s">
        <v>563</v>
      </c>
      <c r="C52" s="697">
        <f>SUM(C47:C51)</f>
        <v>9965180</v>
      </c>
      <c r="D52" s="697">
        <f>SUM(D47:D51)</f>
        <v>30509666</v>
      </c>
      <c r="E52" s="698">
        <f>D52/C52</f>
        <v>3.0616271858611688</v>
      </c>
    </row>
    <row r="53" spans="1:5" ht="15" customHeight="1" hidden="1">
      <c r="A53" s="661" t="s">
        <v>564</v>
      </c>
      <c r="B53" s="662" t="s">
        <v>565</v>
      </c>
      <c r="C53" s="663"/>
      <c r="D53" s="663"/>
      <c r="E53" s="646"/>
    </row>
    <row r="54" spans="1:5" ht="34.5" hidden="1" thickBot="1">
      <c r="A54" s="651" t="s">
        <v>566</v>
      </c>
      <c r="B54" s="647" t="s">
        <v>567</v>
      </c>
      <c r="C54" s="640"/>
      <c r="D54" s="640"/>
      <c r="E54" s="641"/>
    </row>
    <row r="55" spans="1:5" ht="23.25" hidden="1" thickBot="1">
      <c r="A55" s="651" t="s">
        <v>568</v>
      </c>
      <c r="B55" s="659" t="s">
        <v>569</v>
      </c>
      <c r="C55" s="640"/>
      <c r="D55" s="640"/>
      <c r="E55" s="641"/>
    </row>
    <row r="56" spans="1:5" ht="34.5" hidden="1" thickBot="1">
      <c r="A56" s="651" t="s">
        <v>570</v>
      </c>
      <c r="B56" s="647" t="s">
        <v>571</v>
      </c>
      <c r="C56" s="640"/>
      <c r="D56" s="640"/>
      <c r="E56" s="641"/>
    </row>
    <row r="57" spans="1:5" ht="15" customHeight="1" hidden="1">
      <c r="A57" s="651" t="s">
        <v>572</v>
      </c>
      <c r="B57" s="659" t="s">
        <v>573</v>
      </c>
      <c r="C57" s="640"/>
      <c r="D57" s="640"/>
      <c r="E57" s="641"/>
    </row>
    <row r="58" spans="1:5" ht="15.75" customHeight="1" hidden="1">
      <c r="A58" s="664" t="s">
        <v>574</v>
      </c>
      <c r="B58" s="665" t="s">
        <v>575</v>
      </c>
      <c r="C58" s="666"/>
      <c r="D58" s="666"/>
      <c r="E58" s="645"/>
    </row>
    <row r="59" spans="1:5" ht="15" customHeight="1" hidden="1">
      <c r="A59" s="661" t="s">
        <v>576</v>
      </c>
      <c r="B59" s="662" t="s">
        <v>577</v>
      </c>
      <c r="C59" s="663"/>
      <c r="D59" s="663"/>
      <c r="E59" s="646"/>
    </row>
    <row r="60" spans="1:5" ht="15" customHeight="1" hidden="1">
      <c r="A60" s="651" t="s">
        <v>578</v>
      </c>
      <c r="B60" s="659" t="s">
        <v>579</v>
      </c>
      <c r="C60" s="640"/>
      <c r="D60" s="640"/>
      <c r="E60" s="641"/>
    </row>
    <row r="61" spans="1:5" ht="34.5" hidden="1" thickBot="1">
      <c r="A61" s="651" t="s">
        <v>580</v>
      </c>
      <c r="B61" s="647" t="s">
        <v>581</v>
      </c>
      <c r="C61" s="640"/>
      <c r="D61" s="640"/>
      <c r="E61" s="641"/>
    </row>
    <row r="62" spans="1:5" ht="15" customHeight="1" hidden="1">
      <c r="A62" s="651" t="s">
        <v>582</v>
      </c>
      <c r="B62" s="659" t="s">
        <v>583</v>
      </c>
      <c r="C62" s="640"/>
      <c r="D62" s="640"/>
      <c r="E62" s="641"/>
    </row>
    <row r="63" spans="1:5" ht="34.5" hidden="1" thickBot="1">
      <c r="A63" s="651" t="s">
        <v>584</v>
      </c>
      <c r="B63" s="647" t="s">
        <v>585</v>
      </c>
      <c r="C63" s="640"/>
      <c r="D63" s="640"/>
      <c r="E63" s="641"/>
    </row>
    <row r="64" spans="1:5" ht="15" customHeight="1" hidden="1">
      <c r="A64" s="651" t="s">
        <v>586</v>
      </c>
      <c r="B64" s="659" t="s">
        <v>587</v>
      </c>
      <c r="C64" s="640"/>
      <c r="D64" s="640"/>
      <c r="E64" s="641"/>
    </row>
    <row r="65" spans="1:5" ht="15.75" customHeight="1" hidden="1">
      <c r="A65" s="652" t="s">
        <v>588</v>
      </c>
      <c r="B65" s="655" t="s">
        <v>589</v>
      </c>
      <c r="C65" s="644"/>
      <c r="D65" s="644"/>
      <c r="E65" s="645"/>
    </row>
    <row r="66" spans="1:5" ht="15.75" customHeight="1">
      <c r="A66" s="661" t="s">
        <v>590</v>
      </c>
      <c r="B66" s="667" t="s">
        <v>591</v>
      </c>
      <c r="C66" s="663">
        <v>1957037</v>
      </c>
      <c r="D66" s="663">
        <v>1643459</v>
      </c>
      <c r="E66" s="646">
        <f>D66/C66</f>
        <v>0.8397689977246214</v>
      </c>
    </row>
    <row r="67" spans="1:5" ht="15" customHeight="1" hidden="1">
      <c r="A67" s="651" t="s">
        <v>592</v>
      </c>
      <c r="B67" s="659" t="s">
        <v>593</v>
      </c>
      <c r="C67" s="640"/>
      <c r="D67" s="640"/>
      <c r="E67" s="641"/>
    </row>
    <row r="68" spans="1:5" ht="33.75" hidden="1">
      <c r="A68" s="651" t="s">
        <v>594</v>
      </c>
      <c r="B68" s="647" t="s">
        <v>595</v>
      </c>
      <c r="C68" s="640"/>
      <c r="D68" s="640"/>
      <c r="E68" s="641"/>
    </row>
    <row r="69" spans="1:5" ht="15" customHeight="1" hidden="1">
      <c r="A69" s="651" t="s">
        <v>596</v>
      </c>
      <c r="B69" s="659" t="s">
        <v>597</v>
      </c>
      <c r="C69" s="640"/>
      <c r="D69" s="640"/>
      <c r="E69" s="641"/>
    </row>
    <row r="70" spans="1:5" ht="33.75" hidden="1">
      <c r="A70" s="651" t="s">
        <v>598</v>
      </c>
      <c r="B70" s="647" t="s">
        <v>599</v>
      </c>
      <c r="C70" s="640"/>
      <c r="D70" s="640"/>
      <c r="E70" s="641"/>
    </row>
    <row r="71" spans="1:5" ht="15" customHeight="1" hidden="1">
      <c r="A71" s="651" t="s">
        <v>600</v>
      </c>
      <c r="B71" s="659" t="s">
        <v>601</v>
      </c>
      <c r="C71" s="640"/>
      <c r="D71" s="640"/>
      <c r="E71" s="641"/>
    </row>
    <row r="72" spans="1:5" ht="15" customHeight="1" hidden="1">
      <c r="A72" s="651" t="s">
        <v>602</v>
      </c>
      <c r="B72" s="659" t="s">
        <v>603</v>
      </c>
      <c r="C72" s="640"/>
      <c r="D72" s="640"/>
      <c r="E72" s="641"/>
    </row>
    <row r="73" spans="1:5" ht="15" customHeight="1" hidden="1">
      <c r="A73" s="651" t="s">
        <v>604</v>
      </c>
      <c r="B73" s="659" t="s">
        <v>605</v>
      </c>
      <c r="C73" s="640"/>
      <c r="D73" s="640"/>
      <c r="E73" s="641"/>
    </row>
    <row r="74" spans="1:5" ht="15" customHeight="1" hidden="1">
      <c r="A74" s="651" t="s">
        <v>606</v>
      </c>
      <c r="B74" s="659" t="s">
        <v>607</v>
      </c>
      <c r="C74" s="640"/>
      <c r="D74" s="640"/>
      <c r="E74" s="641"/>
    </row>
    <row r="75" spans="1:5" ht="15" customHeight="1" hidden="1">
      <c r="A75" s="651" t="s">
        <v>608</v>
      </c>
      <c r="B75" s="647" t="s">
        <v>609</v>
      </c>
      <c r="C75" s="640"/>
      <c r="D75" s="640"/>
      <c r="E75" s="641"/>
    </row>
    <row r="76" spans="1:5" ht="15" customHeight="1" hidden="1">
      <c r="A76" s="651" t="s">
        <v>610</v>
      </c>
      <c r="B76" s="659" t="s">
        <v>611</v>
      </c>
      <c r="C76" s="640"/>
      <c r="D76" s="640"/>
      <c r="E76" s="641"/>
    </row>
    <row r="77" spans="1:5" ht="33.75" hidden="1">
      <c r="A77" s="651" t="s">
        <v>612</v>
      </c>
      <c r="B77" s="647" t="s">
        <v>613</v>
      </c>
      <c r="C77" s="640"/>
      <c r="D77" s="640"/>
      <c r="E77" s="641"/>
    </row>
    <row r="78" spans="1:5" ht="15" customHeight="1" hidden="1">
      <c r="A78" s="651" t="s">
        <v>614</v>
      </c>
      <c r="B78" s="659" t="s">
        <v>615</v>
      </c>
      <c r="C78" s="640"/>
      <c r="D78" s="640"/>
      <c r="E78" s="641"/>
    </row>
    <row r="79" spans="1:5" ht="15.75" customHeight="1" hidden="1">
      <c r="A79" s="651" t="s">
        <v>616</v>
      </c>
      <c r="B79" s="647" t="s">
        <v>617</v>
      </c>
      <c r="C79" s="640"/>
      <c r="D79" s="640"/>
      <c r="E79" s="641"/>
    </row>
    <row r="80" spans="1:5" ht="15.75" customHeight="1">
      <c r="A80" s="651" t="s">
        <v>618</v>
      </c>
      <c r="B80" s="668" t="s">
        <v>619</v>
      </c>
      <c r="C80" s="640">
        <v>0</v>
      </c>
      <c r="D80" s="640">
        <v>0</v>
      </c>
      <c r="E80" s="641"/>
    </row>
    <row r="81" spans="1:5" ht="15" customHeight="1" hidden="1">
      <c r="A81" s="651" t="s">
        <v>620</v>
      </c>
      <c r="B81" s="669" t="s">
        <v>621</v>
      </c>
      <c r="C81" s="640"/>
      <c r="D81" s="640"/>
      <c r="E81" s="641"/>
    </row>
    <row r="82" spans="1:5" ht="15" customHeight="1" hidden="1">
      <c r="A82" s="670" t="s">
        <v>622</v>
      </c>
      <c r="B82" s="671" t="s">
        <v>623</v>
      </c>
      <c r="C82" s="640"/>
      <c r="D82" s="640"/>
      <c r="E82" s="641"/>
    </row>
    <row r="83" spans="1:5" ht="15" customHeight="1" hidden="1">
      <c r="A83" s="670" t="s">
        <v>624</v>
      </c>
      <c r="B83" s="671" t="s">
        <v>625</v>
      </c>
      <c r="C83" s="640"/>
      <c r="D83" s="640"/>
      <c r="E83" s="641"/>
    </row>
    <row r="84" spans="1:5" ht="15" customHeight="1" hidden="1">
      <c r="A84" s="670" t="s">
        <v>626</v>
      </c>
      <c r="B84" s="671" t="s">
        <v>627</v>
      </c>
      <c r="C84" s="640"/>
      <c r="D84" s="640"/>
      <c r="E84" s="641"/>
    </row>
    <row r="85" spans="1:5" ht="15" customHeight="1" hidden="1">
      <c r="A85" s="670" t="s">
        <v>628</v>
      </c>
      <c r="B85" s="671" t="s">
        <v>629</v>
      </c>
      <c r="C85" s="640"/>
      <c r="D85" s="640"/>
      <c r="E85" s="641"/>
    </row>
    <row r="86" spans="1:5" ht="15" customHeight="1" hidden="1">
      <c r="A86" s="670" t="s">
        <v>630</v>
      </c>
      <c r="B86" s="671" t="s">
        <v>631</v>
      </c>
      <c r="C86" s="640"/>
      <c r="D86" s="640"/>
      <c r="E86" s="641"/>
    </row>
    <row r="87" spans="1:5" ht="15" customHeight="1" hidden="1">
      <c r="A87" s="651" t="s">
        <v>632</v>
      </c>
      <c r="B87" s="672" t="s">
        <v>633</v>
      </c>
      <c r="C87" s="640"/>
      <c r="D87" s="640"/>
      <c r="E87" s="641"/>
    </row>
    <row r="88" spans="1:5" ht="15" customHeight="1" hidden="1">
      <c r="A88" s="651" t="s">
        <v>634</v>
      </c>
      <c r="B88" s="672" t="s">
        <v>635</v>
      </c>
      <c r="C88" s="640"/>
      <c r="D88" s="640"/>
      <c r="E88" s="641"/>
    </row>
    <row r="89" spans="1:5" ht="15" customHeight="1" hidden="1">
      <c r="A89" s="651" t="s">
        <v>636</v>
      </c>
      <c r="B89" s="672" t="s">
        <v>637</v>
      </c>
      <c r="C89" s="640"/>
      <c r="D89" s="640"/>
      <c r="E89" s="641"/>
    </row>
    <row r="90" spans="1:5" ht="15" customHeight="1" hidden="1">
      <c r="A90" s="670" t="s">
        <v>638</v>
      </c>
      <c r="B90" s="672" t="s">
        <v>639</v>
      </c>
      <c r="C90" s="640"/>
      <c r="D90" s="640"/>
      <c r="E90" s="641"/>
    </row>
    <row r="91" spans="1:5" ht="15" customHeight="1" hidden="1">
      <c r="A91" s="670" t="s">
        <v>640</v>
      </c>
      <c r="B91" s="672" t="s">
        <v>641</v>
      </c>
      <c r="C91" s="640"/>
      <c r="D91" s="640"/>
      <c r="E91" s="641"/>
    </row>
    <row r="92" spans="1:5" ht="15.75" customHeight="1" hidden="1">
      <c r="A92" s="670" t="s">
        <v>642</v>
      </c>
      <c r="B92" s="672" t="s">
        <v>643</v>
      </c>
      <c r="C92" s="640"/>
      <c r="D92" s="640"/>
      <c r="E92" s="641"/>
    </row>
    <row r="93" spans="1:5" ht="15.75" customHeight="1" thickBot="1">
      <c r="A93" s="673" t="s">
        <v>644</v>
      </c>
      <c r="B93" s="674" t="s">
        <v>645</v>
      </c>
      <c r="C93" s="666">
        <v>97820</v>
      </c>
      <c r="D93" s="666">
        <v>80058</v>
      </c>
      <c r="E93" s="645">
        <f>D93/C93</f>
        <v>0.8184215906767532</v>
      </c>
    </row>
    <row r="94" spans="1:5" ht="15.75" customHeight="1" thickBot="1">
      <c r="A94" s="675" t="s">
        <v>441</v>
      </c>
      <c r="B94" s="676" t="s">
        <v>646</v>
      </c>
      <c r="C94" s="697">
        <f>C66+C80+C93</f>
        <v>2054857</v>
      </c>
      <c r="D94" s="697">
        <f>D66+D80+D93</f>
        <v>1723517</v>
      </c>
      <c r="E94" s="698">
        <f>D94/C94</f>
        <v>0.8387527696574506</v>
      </c>
    </row>
    <row r="95" spans="1:5" ht="15.75" customHeight="1" thickBot="1">
      <c r="A95" s="648" t="s">
        <v>443</v>
      </c>
      <c r="B95" s="657" t="s">
        <v>647</v>
      </c>
      <c r="C95" s="634">
        <v>268627</v>
      </c>
      <c r="D95" s="634">
        <v>109511</v>
      </c>
      <c r="E95" s="635">
        <f>D95/C95</f>
        <v>0.40766937053981916</v>
      </c>
    </row>
    <row r="96" spans="1:5" ht="15" customHeight="1" hidden="1">
      <c r="A96" s="650" t="s">
        <v>648</v>
      </c>
      <c r="B96" s="658" t="s">
        <v>649</v>
      </c>
      <c r="C96" s="638"/>
      <c r="D96" s="638"/>
      <c r="E96" s="646"/>
    </row>
    <row r="97" spans="1:5" ht="15" customHeight="1" hidden="1">
      <c r="A97" s="651" t="s">
        <v>650</v>
      </c>
      <c r="B97" s="659" t="s">
        <v>651</v>
      </c>
      <c r="C97" s="640"/>
      <c r="D97" s="640"/>
      <c r="E97" s="641"/>
    </row>
    <row r="98" spans="1:5" ht="15.75" customHeight="1" hidden="1">
      <c r="A98" s="652" t="s">
        <v>652</v>
      </c>
      <c r="B98" s="660" t="s">
        <v>653</v>
      </c>
      <c r="C98" s="644"/>
      <c r="D98" s="644"/>
      <c r="E98" s="645"/>
    </row>
    <row r="99" spans="1:5" ht="15.75" customHeight="1" thickBot="1">
      <c r="A99" s="677" t="s">
        <v>445</v>
      </c>
      <c r="B99" s="678" t="s">
        <v>654</v>
      </c>
      <c r="C99" s="679">
        <v>311403</v>
      </c>
      <c r="D99" s="679">
        <v>340813</v>
      </c>
      <c r="E99" s="680">
        <f>D99/C99</f>
        <v>1.094443534583803</v>
      </c>
    </row>
    <row r="100" spans="1:5" ht="12.75" thickBot="1" thickTop="1">
      <c r="A100" s="846" t="s">
        <v>655</v>
      </c>
      <c r="B100" s="847"/>
      <c r="C100" s="699">
        <f>C31+C46+C52+C94+C95+C99</f>
        <v>180718146</v>
      </c>
      <c r="D100" s="699">
        <f>D31+D46+D52+D94+D95+D99</f>
        <v>284477307</v>
      </c>
      <c r="E100" s="700">
        <f>D100/C100</f>
        <v>1.5741491006664046</v>
      </c>
    </row>
    <row r="101" spans="1:5" ht="11.25">
      <c r="A101" s="681"/>
      <c r="B101" s="682"/>
      <c r="C101" s="683"/>
      <c r="D101" s="683"/>
      <c r="E101" s="684"/>
    </row>
    <row r="102" spans="1:5" ht="12" thickBot="1">
      <c r="A102" s="685"/>
      <c r="B102" s="686"/>
      <c r="C102" s="687"/>
      <c r="D102" s="687"/>
      <c r="E102" s="688"/>
    </row>
    <row r="103" spans="1:5" ht="15.75" customHeight="1">
      <c r="A103" s="650" t="s">
        <v>656</v>
      </c>
      <c r="B103" s="689" t="s">
        <v>657</v>
      </c>
      <c r="C103" s="638">
        <v>233607593</v>
      </c>
      <c r="D103" s="638">
        <v>233607593</v>
      </c>
      <c r="E103" s="642">
        <f>D103/C103</f>
        <v>1</v>
      </c>
    </row>
    <row r="104" spans="1:5" ht="15" customHeight="1">
      <c r="A104" s="651" t="s">
        <v>658</v>
      </c>
      <c r="B104" s="669" t="s">
        <v>659</v>
      </c>
      <c r="C104" s="640"/>
      <c r="D104" s="640"/>
      <c r="E104" s="643"/>
    </row>
    <row r="105" spans="1:5" ht="15" customHeight="1">
      <c r="A105" s="651" t="s">
        <v>660</v>
      </c>
      <c r="B105" s="669" t="s">
        <v>661</v>
      </c>
      <c r="C105" s="640">
        <v>4838083</v>
      </c>
      <c r="D105" s="640">
        <v>4838083</v>
      </c>
      <c r="E105" s="643">
        <f>D105/C105</f>
        <v>1</v>
      </c>
    </row>
    <row r="106" spans="1:5" ht="15" customHeight="1">
      <c r="A106" s="651" t="s">
        <v>662</v>
      </c>
      <c r="B106" s="669" t="s">
        <v>663</v>
      </c>
      <c r="C106" s="640">
        <v>-88155617</v>
      </c>
      <c r="D106" s="640">
        <v>-93602326</v>
      </c>
      <c r="E106" s="641">
        <f>D106/C106</f>
        <v>1.0617851611202493</v>
      </c>
    </row>
    <row r="107" spans="1:5" ht="15" customHeight="1">
      <c r="A107" s="651" t="s">
        <v>664</v>
      </c>
      <c r="B107" s="669" t="s">
        <v>665</v>
      </c>
      <c r="C107" s="640"/>
      <c r="D107" s="640"/>
      <c r="E107" s="641"/>
    </row>
    <row r="108" spans="1:5" ht="15.75" customHeight="1" thickBot="1">
      <c r="A108" s="652" t="s">
        <v>666</v>
      </c>
      <c r="B108" s="690" t="s">
        <v>667</v>
      </c>
      <c r="C108" s="644">
        <v>-5446709</v>
      </c>
      <c r="D108" s="644">
        <v>854233</v>
      </c>
      <c r="E108" s="641">
        <f>D108/C108</f>
        <v>-0.15683470514029665</v>
      </c>
    </row>
    <row r="109" spans="1:5" ht="15.75" customHeight="1" thickBot="1">
      <c r="A109" s="648" t="s">
        <v>447</v>
      </c>
      <c r="B109" s="649" t="s">
        <v>668</v>
      </c>
      <c r="C109" s="697">
        <f>SUM(C103:C108)</f>
        <v>144843350</v>
      </c>
      <c r="D109" s="697">
        <f>SUM(D103:D108)</f>
        <v>145697583</v>
      </c>
      <c r="E109" s="698">
        <f>D109/C109</f>
        <v>1.0058976335468628</v>
      </c>
    </row>
    <row r="110" spans="1:5" ht="15" customHeight="1">
      <c r="A110" s="661" t="s">
        <v>669</v>
      </c>
      <c r="B110" s="691" t="s">
        <v>670</v>
      </c>
      <c r="C110" s="663">
        <v>0</v>
      </c>
      <c r="D110" s="663">
        <v>0</v>
      </c>
      <c r="E110" s="646"/>
    </row>
    <row r="111" spans="1:5" ht="22.5">
      <c r="A111" s="651" t="s">
        <v>671</v>
      </c>
      <c r="B111" s="626" t="s">
        <v>672</v>
      </c>
      <c r="C111" s="640"/>
      <c r="D111" s="640"/>
      <c r="E111" s="641"/>
    </row>
    <row r="112" spans="1:5" ht="15" customHeight="1" thickBot="1">
      <c r="A112" s="651" t="s">
        <v>673</v>
      </c>
      <c r="B112" s="626" t="s">
        <v>674</v>
      </c>
      <c r="C112" s="640">
        <v>165836</v>
      </c>
      <c r="D112" s="640">
        <v>0</v>
      </c>
      <c r="E112" s="641"/>
    </row>
    <row r="113" spans="1:5" ht="15" customHeight="1" hidden="1">
      <c r="A113" s="651" t="s">
        <v>675</v>
      </c>
      <c r="B113" s="626" t="s">
        <v>676</v>
      </c>
      <c r="C113" s="640"/>
      <c r="D113" s="640"/>
      <c r="E113" s="641"/>
    </row>
    <row r="114" spans="1:5" ht="15" customHeight="1" hidden="1">
      <c r="A114" s="651" t="s">
        <v>677</v>
      </c>
      <c r="B114" s="626" t="s">
        <v>678</v>
      </c>
      <c r="C114" s="640">
        <v>0</v>
      </c>
      <c r="D114" s="640">
        <v>16</v>
      </c>
      <c r="E114" s="641">
        <v>0</v>
      </c>
    </row>
    <row r="115" spans="1:5" ht="23.25" hidden="1" thickBot="1">
      <c r="A115" s="651" t="s">
        <v>679</v>
      </c>
      <c r="B115" s="647" t="s">
        <v>680</v>
      </c>
      <c r="C115" s="640"/>
      <c r="D115" s="640"/>
      <c r="E115" s="641"/>
    </row>
    <row r="116" spans="1:5" ht="15" customHeight="1" hidden="1">
      <c r="A116" s="651" t="s">
        <v>681</v>
      </c>
      <c r="B116" s="626" t="s">
        <v>682</v>
      </c>
      <c r="C116" s="640"/>
      <c r="D116" s="640"/>
      <c r="E116" s="641"/>
    </row>
    <row r="117" spans="1:5" ht="15" customHeight="1" hidden="1">
      <c r="A117" s="651" t="s">
        <v>683</v>
      </c>
      <c r="B117" s="626" t="s">
        <v>684</v>
      </c>
      <c r="C117" s="640"/>
      <c r="D117" s="640"/>
      <c r="E117" s="641"/>
    </row>
    <row r="118" spans="1:5" ht="15" customHeight="1" hidden="1">
      <c r="A118" s="651" t="s">
        <v>685</v>
      </c>
      <c r="B118" s="626" t="s">
        <v>686</v>
      </c>
      <c r="C118" s="640"/>
      <c r="D118" s="640"/>
      <c r="E118" s="641"/>
    </row>
    <row r="119" spans="1:5" ht="23.25" hidden="1" thickBot="1">
      <c r="A119" s="651" t="s">
        <v>687</v>
      </c>
      <c r="B119" s="647" t="s">
        <v>688</v>
      </c>
      <c r="C119" s="640"/>
      <c r="D119" s="640"/>
      <c r="E119" s="641"/>
    </row>
    <row r="120" spans="1:5" ht="15" customHeight="1" hidden="1">
      <c r="A120" s="651" t="s">
        <v>689</v>
      </c>
      <c r="B120" s="626" t="s">
        <v>690</v>
      </c>
      <c r="C120" s="640"/>
      <c r="D120" s="640"/>
      <c r="E120" s="641"/>
    </row>
    <row r="121" spans="1:5" ht="15" customHeight="1" hidden="1">
      <c r="A121" s="651" t="s">
        <v>691</v>
      </c>
      <c r="B121" s="647" t="s">
        <v>692</v>
      </c>
      <c r="C121" s="640"/>
      <c r="D121" s="640"/>
      <c r="E121" s="641"/>
    </row>
    <row r="122" spans="1:5" ht="15" customHeight="1" hidden="1">
      <c r="A122" s="651" t="s">
        <v>693</v>
      </c>
      <c r="B122" s="647" t="s">
        <v>694</v>
      </c>
      <c r="C122" s="640"/>
      <c r="D122" s="640"/>
      <c r="E122" s="641"/>
    </row>
    <row r="123" spans="1:5" ht="15" customHeight="1" hidden="1">
      <c r="A123" s="651" t="s">
        <v>695</v>
      </c>
      <c r="B123" s="647" t="s">
        <v>696</v>
      </c>
      <c r="C123" s="640"/>
      <c r="D123" s="640"/>
      <c r="E123" s="641"/>
    </row>
    <row r="124" spans="1:5" ht="15" customHeight="1" hidden="1">
      <c r="A124" s="651" t="s">
        <v>697</v>
      </c>
      <c r="B124" s="647" t="s">
        <v>698</v>
      </c>
      <c r="C124" s="640"/>
      <c r="D124" s="640"/>
      <c r="E124" s="641"/>
    </row>
    <row r="125" spans="1:5" ht="15" customHeight="1" hidden="1">
      <c r="A125" s="651" t="s">
        <v>699</v>
      </c>
      <c r="B125" s="647" t="s">
        <v>700</v>
      </c>
      <c r="C125" s="640"/>
      <c r="D125" s="640"/>
      <c r="E125" s="641"/>
    </row>
    <row r="126" spans="1:5" ht="15" customHeight="1" hidden="1">
      <c r="A126" s="651" t="s">
        <v>701</v>
      </c>
      <c r="B126" s="647" t="s">
        <v>702</v>
      </c>
      <c r="C126" s="640"/>
      <c r="D126" s="640"/>
      <c r="E126" s="641"/>
    </row>
    <row r="127" spans="1:5" ht="15" customHeight="1" hidden="1">
      <c r="A127" s="651" t="s">
        <v>703</v>
      </c>
      <c r="B127" s="647" t="s">
        <v>704</v>
      </c>
      <c r="C127" s="640"/>
      <c r="D127" s="640"/>
      <c r="E127" s="641"/>
    </row>
    <row r="128" spans="1:5" ht="15.75" customHeight="1" hidden="1">
      <c r="A128" s="652" t="s">
        <v>705</v>
      </c>
      <c r="B128" s="655" t="s">
        <v>706</v>
      </c>
      <c r="C128" s="644"/>
      <c r="D128" s="644"/>
      <c r="E128" s="641"/>
    </row>
    <row r="129" spans="1:5" ht="15.75" customHeight="1" thickBot="1">
      <c r="A129" s="648" t="s">
        <v>707</v>
      </c>
      <c r="B129" s="649" t="s">
        <v>708</v>
      </c>
      <c r="C129" s="634">
        <f>SUM(C110:C112)</f>
        <v>165836</v>
      </c>
      <c r="D129" s="634">
        <f>SUM(D110:D112)</f>
        <v>0</v>
      </c>
      <c r="E129" s="635">
        <v>0</v>
      </c>
    </row>
    <row r="130" spans="1:5" ht="15" customHeight="1">
      <c r="A130" s="650" t="s">
        <v>709</v>
      </c>
      <c r="B130" s="637" t="s">
        <v>710</v>
      </c>
      <c r="C130" s="638"/>
      <c r="D130" s="638"/>
      <c r="E130" s="646"/>
    </row>
    <row r="131" spans="1:5" ht="22.5">
      <c r="A131" s="651" t="s">
        <v>711</v>
      </c>
      <c r="B131" s="626" t="s">
        <v>712</v>
      </c>
      <c r="C131" s="640"/>
      <c r="D131" s="640"/>
      <c r="E131" s="641"/>
    </row>
    <row r="132" spans="1:5" ht="15" customHeight="1">
      <c r="A132" s="651" t="s">
        <v>713</v>
      </c>
      <c r="B132" s="626" t="s">
        <v>714</v>
      </c>
      <c r="C132" s="640">
        <v>527703</v>
      </c>
      <c r="D132" s="640">
        <v>428564</v>
      </c>
      <c r="E132" s="641">
        <f>D132/C132</f>
        <v>0.8121310661489513</v>
      </c>
    </row>
    <row r="133" spans="1:5" ht="22.5">
      <c r="A133" s="651" t="s">
        <v>715</v>
      </c>
      <c r="B133" s="626" t="s">
        <v>716</v>
      </c>
      <c r="C133" s="640"/>
      <c r="D133" s="640"/>
      <c r="E133" s="641"/>
    </row>
    <row r="134" spans="1:5" ht="22.5">
      <c r="A134" s="651" t="s">
        <v>717</v>
      </c>
      <c r="B134" s="626" t="s">
        <v>718</v>
      </c>
      <c r="C134" s="640"/>
      <c r="D134" s="640"/>
      <c r="E134" s="641"/>
    </row>
    <row r="135" spans="1:5" ht="22.5" hidden="1">
      <c r="A135" s="651" t="s">
        <v>719</v>
      </c>
      <c r="B135" s="647" t="s">
        <v>720</v>
      </c>
      <c r="C135" s="640"/>
      <c r="D135" s="640"/>
      <c r="E135" s="641"/>
    </row>
    <row r="136" spans="1:5" ht="15" customHeight="1">
      <c r="A136" s="651" t="s">
        <v>721</v>
      </c>
      <c r="B136" s="626" t="s">
        <v>722</v>
      </c>
      <c r="C136" s="640"/>
      <c r="D136" s="640"/>
      <c r="E136" s="641"/>
    </row>
    <row r="137" spans="1:5" ht="15" customHeight="1">
      <c r="A137" s="651" t="s">
        <v>723</v>
      </c>
      <c r="B137" s="626" t="s">
        <v>724</v>
      </c>
      <c r="C137" s="640"/>
      <c r="D137" s="640"/>
      <c r="E137" s="641"/>
    </row>
    <row r="138" spans="1:5" ht="22.5">
      <c r="A138" s="651" t="s">
        <v>725</v>
      </c>
      <c r="B138" s="626" t="s">
        <v>726</v>
      </c>
      <c r="C138" s="640"/>
      <c r="D138" s="640"/>
      <c r="E138" s="641"/>
    </row>
    <row r="139" spans="1:5" ht="33.75" hidden="1">
      <c r="A139" s="651" t="s">
        <v>727</v>
      </c>
      <c r="B139" s="647" t="s">
        <v>728</v>
      </c>
      <c r="C139" s="640"/>
      <c r="D139" s="640"/>
      <c r="E139" s="641"/>
    </row>
    <row r="140" spans="1:5" ht="15" customHeight="1" thickBot="1">
      <c r="A140" s="651" t="s">
        <v>729</v>
      </c>
      <c r="B140" s="626" t="s">
        <v>730</v>
      </c>
      <c r="C140" s="640">
        <v>2530302</v>
      </c>
      <c r="D140" s="640">
        <v>2195595</v>
      </c>
      <c r="E140" s="641">
        <f>D140/C140</f>
        <v>0.8677205329640494</v>
      </c>
    </row>
    <row r="141" spans="1:5" ht="15" customHeight="1" hidden="1">
      <c r="A141" s="651" t="s">
        <v>731</v>
      </c>
      <c r="B141" s="647" t="s">
        <v>732</v>
      </c>
      <c r="C141" s="640"/>
      <c r="D141" s="640"/>
      <c r="E141" s="641"/>
    </row>
    <row r="142" spans="1:5" ht="15" customHeight="1" hidden="1">
      <c r="A142" s="651" t="s">
        <v>733</v>
      </c>
      <c r="B142" s="647" t="s">
        <v>734</v>
      </c>
      <c r="C142" s="640"/>
      <c r="D142" s="640"/>
      <c r="E142" s="641"/>
    </row>
    <row r="143" spans="1:5" ht="15" customHeight="1" hidden="1">
      <c r="A143" s="651" t="s">
        <v>735</v>
      </c>
      <c r="B143" s="647" t="s">
        <v>736</v>
      </c>
      <c r="C143" s="640"/>
      <c r="D143" s="640"/>
      <c r="E143" s="641"/>
    </row>
    <row r="144" spans="1:5" ht="15" customHeight="1" hidden="1">
      <c r="A144" s="651" t="s">
        <v>737</v>
      </c>
      <c r="B144" s="647" t="s">
        <v>738</v>
      </c>
      <c r="C144" s="640"/>
      <c r="D144" s="640"/>
      <c r="E144" s="641"/>
    </row>
    <row r="145" spans="1:5" ht="15" customHeight="1" hidden="1">
      <c r="A145" s="651" t="s">
        <v>739</v>
      </c>
      <c r="B145" s="647" t="s">
        <v>740</v>
      </c>
      <c r="C145" s="640"/>
      <c r="D145" s="640"/>
      <c r="E145" s="641"/>
    </row>
    <row r="146" spans="1:5" ht="15" customHeight="1" hidden="1">
      <c r="A146" s="651" t="s">
        <v>741</v>
      </c>
      <c r="B146" s="647" t="s">
        <v>742</v>
      </c>
      <c r="C146" s="640"/>
      <c r="D146" s="640"/>
      <c r="E146" s="641"/>
    </row>
    <row r="147" spans="1:5" ht="15" customHeight="1" hidden="1">
      <c r="A147" s="651" t="s">
        <v>743</v>
      </c>
      <c r="B147" s="647" t="s">
        <v>744</v>
      </c>
      <c r="C147" s="640"/>
      <c r="D147" s="640"/>
      <c r="E147" s="641"/>
    </row>
    <row r="148" spans="1:5" ht="15.75" customHeight="1" hidden="1">
      <c r="A148" s="652" t="s">
        <v>745</v>
      </c>
      <c r="B148" s="655" t="s">
        <v>746</v>
      </c>
      <c r="C148" s="644"/>
      <c r="D148" s="644"/>
      <c r="E148" s="645"/>
    </row>
    <row r="149" spans="1:5" ht="23.25" thickBot="1">
      <c r="A149" s="648" t="s">
        <v>747</v>
      </c>
      <c r="B149" s="649" t="s">
        <v>748</v>
      </c>
      <c r="C149" s="697">
        <f>SUM(C130:C148)</f>
        <v>3058005</v>
      </c>
      <c r="D149" s="697">
        <f>SUM(D130:D148)</f>
        <v>2624159</v>
      </c>
      <c r="E149" s="698">
        <f>D149/C149</f>
        <v>0.8581277663051564</v>
      </c>
    </row>
    <row r="150" spans="1:5" ht="15" customHeight="1">
      <c r="A150" s="670" t="s">
        <v>749</v>
      </c>
      <c r="B150" s="692" t="s">
        <v>750</v>
      </c>
      <c r="C150" s="640">
        <v>112897</v>
      </c>
      <c r="D150" s="640">
        <v>1243134</v>
      </c>
      <c r="E150" s="646">
        <f>D150/C150</f>
        <v>11.011222618847269</v>
      </c>
    </row>
    <row r="151" spans="1:5" ht="15" customHeight="1">
      <c r="A151" s="670" t="s">
        <v>751</v>
      </c>
      <c r="B151" s="672" t="s">
        <v>633</v>
      </c>
      <c r="C151" s="640"/>
      <c r="D151" s="640"/>
      <c r="E151" s="641"/>
    </row>
    <row r="152" spans="1:5" ht="15" customHeight="1">
      <c r="A152" s="670" t="s">
        <v>752</v>
      </c>
      <c r="B152" s="672" t="s">
        <v>753</v>
      </c>
      <c r="C152" s="640"/>
      <c r="D152" s="640"/>
      <c r="E152" s="641"/>
    </row>
    <row r="153" spans="1:5" ht="15" customHeight="1">
      <c r="A153" s="670" t="s">
        <v>754</v>
      </c>
      <c r="B153" s="672" t="s">
        <v>755</v>
      </c>
      <c r="C153" s="640"/>
      <c r="D153" s="640"/>
      <c r="E153" s="641"/>
    </row>
    <row r="154" spans="1:5" ht="22.5">
      <c r="A154" s="670" t="s">
        <v>756</v>
      </c>
      <c r="B154" s="672" t="s">
        <v>757</v>
      </c>
      <c r="C154" s="640"/>
      <c r="D154" s="640"/>
      <c r="E154" s="641"/>
    </row>
    <row r="155" spans="1:5" ht="22.5">
      <c r="A155" s="670" t="s">
        <v>758</v>
      </c>
      <c r="B155" s="672" t="s">
        <v>641</v>
      </c>
      <c r="C155" s="640"/>
      <c r="D155" s="640"/>
      <c r="E155" s="641"/>
    </row>
    <row r="156" spans="1:5" ht="23.25" thickBot="1">
      <c r="A156" s="693" t="s">
        <v>759</v>
      </c>
      <c r="B156" s="694" t="s">
        <v>760</v>
      </c>
      <c r="C156" s="695"/>
      <c r="D156" s="695"/>
      <c r="E156" s="643"/>
    </row>
    <row r="157" spans="1:5" ht="15.75" customHeight="1" thickBot="1">
      <c r="A157" s="696" t="s">
        <v>761</v>
      </c>
      <c r="B157" s="649" t="s">
        <v>762</v>
      </c>
      <c r="C157" s="697">
        <f>SUM(C150:C156)</f>
        <v>112897</v>
      </c>
      <c r="D157" s="697">
        <f>SUM(D150:D156)</f>
        <v>1243134</v>
      </c>
      <c r="E157" s="698">
        <f>D157/C157</f>
        <v>11.011222618847269</v>
      </c>
    </row>
    <row r="158" spans="1:5" ht="15.75" customHeight="1" thickBot="1">
      <c r="A158" s="648" t="s">
        <v>763</v>
      </c>
      <c r="B158" s="649" t="s">
        <v>764</v>
      </c>
      <c r="C158" s="697">
        <f>C157+C149+C129</f>
        <v>3336738</v>
      </c>
      <c r="D158" s="697">
        <f>D157+D149+D129</f>
        <v>3867293</v>
      </c>
      <c r="E158" s="698">
        <v>0</v>
      </c>
    </row>
    <row r="159" spans="1:5" ht="15.75" customHeight="1" thickBot="1">
      <c r="A159" s="648" t="s">
        <v>765</v>
      </c>
      <c r="B159" s="649" t="s">
        <v>766</v>
      </c>
      <c r="C159" s="634"/>
      <c r="D159" s="634"/>
      <c r="E159" s="635"/>
    </row>
    <row r="160" spans="1:5" ht="15.75" customHeight="1" hidden="1">
      <c r="A160" s="648" t="s">
        <v>767</v>
      </c>
      <c r="B160" s="657" t="s">
        <v>768</v>
      </c>
      <c r="C160" s="634">
        <v>0</v>
      </c>
      <c r="D160" s="634">
        <v>0</v>
      </c>
      <c r="E160" s="635"/>
    </row>
    <row r="161" spans="1:5" ht="15" customHeight="1">
      <c r="A161" s="650" t="s">
        <v>769</v>
      </c>
      <c r="B161" s="658" t="s">
        <v>770</v>
      </c>
      <c r="C161" s="638">
        <v>6731357</v>
      </c>
      <c r="D161" s="638">
        <v>5468712</v>
      </c>
      <c r="E161" s="646"/>
    </row>
    <row r="162" spans="1:5" ht="15" customHeight="1">
      <c r="A162" s="651" t="s">
        <v>771</v>
      </c>
      <c r="B162" s="659" t="s">
        <v>772</v>
      </c>
      <c r="C162" s="640">
        <v>4271712</v>
      </c>
      <c r="D162" s="640">
        <v>4099143</v>
      </c>
      <c r="E162" s="641">
        <f>D162/C162</f>
        <v>0.9596019113648111</v>
      </c>
    </row>
    <row r="163" spans="1:5" ht="15.75" customHeight="1" thickBot="1">
      <c r="A163" s="652" t="s">
        <v>773</v>
      </c>
      <c r="B163" s="660" t="s">
        <v>774</v>
      </c>
      <c r="C163" s="644">
        <v>21534989</v>
      </c>
      <c r="D163" s="644">
        <v>125344576</v>
      </c>
      <c r="E163" s="645"/>
    </row>
    <row r="164" spans="1:5" ht="15.75" customHeight="1" thickBot="1">
      <c r="A164" s="677" t="s">
        <v>767</v>
      </c>
      <c r="B164" s="678" t="s">
        <v>775</v>
      </c>
      <c r="C164" s="701">
        <f>SUM(C161:C163)</f>
        <v>32538058</v>
      </c>
      <c r="D164" s="701">
        <f>SUM(D161:D163)</f>
        <v>134912431</v>
      </c>
      <c r="E164" s="702">
        <f>D164/C164</f>
        <v>4.14629634626627</v>
      </c>
    </row>
    <row r="165" spans="1:5" ht="12.75" thickBot="1" thickTop="1">
      <c r="A165" s="848" t="s">
        <v>776</v>
      </c>
      <c r="B165" s="847"/>
      <c r="C165" s="699">
        <f>C109+C158+C159+C160+C164</f>
        <v>180718146</v>
      </c>
      <c r="D165" s="699">
        <f>D164+D158+D109</f>
        <v>284477307</v>
      </c>
      <c r="E165" s="700">
        <f>D165/C165*100</f>
        <v>157.41491006664046</v>
      </c>
    </row>
  </sheetData>
  <sheetProtection/>
  <mergeCells count="10">
    <mergeCell ref="A100:B100"/>
    <mergeCell ref="A165:B165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9.140625" style="0" customWidth="1"/>
    <col min="2" max="2" width="52.421875" style="0" bestFit="1" customWidth="1"/>
    <col min="3" max="3" width="8.7109375" style="0" customWidth="1"/>
    <col min="4" max="4" width="8.28125" style="0" customWidth="1"/>
    <col min="5" max="5" width="9.28125" style="0" customWidth="1"/>
  </cols>
  <sheetData>
    <row r="1" spans="1:2" ht="15">
      <c r="A1">
        <f>Közvilágítás!A1+7</f>
        <v>15</v>
      </c>
      <c r="B1" s="64">
        <f>Ovi!B2</f>
        <v>0</v>
      </c>
    </row>
    <row r="3" spans="1:5" ht="33" customHeight="1">
      <c r="A3" s="844" t="s">
        <v>340</v>
      </c>
      <c r="B3" s="844"/>
      <c r="C3" s="844"/>
      <c r="D3" s="844"/>
      <c r="E3" s="844"/>
    </row>
    <row r="4" spans="1:5" ht="15.75">
      <c r="A4" s="844"/>
      <c r="B4" s="844"/>
      <c r="C4" s="844"/>
      <c r="D4" s="844"/>
      <c r="E4" s="844"/>
    </row>
    <row r="5" spans="1:5" ht="15.75">
      <c r="A5" s="43"/>
      <c r="B5" s="43"/>
      <c r="C5" s="43"/>
      <c r="D5" s="43"/>
      <c r="E5" s="43"/>
    </row>
    <row r="6" spans="1:5" ht="27" thickBot="1">
      <c r="A6" s="3"/>
      <c r="B6" s="3"/>
      <c r="C6" s="3"/>
      <c r="D6" s="3"/>
      <c r="E6" s="37" t="s">
        <v>5</v>
      </c>
    </row>
    <row r="7" spans="1:5" ht="25.5">
      <c r="A7" s="193" t="s">
        <v>0</v>
      </c>
      <c r="B7" s="194" t="s">
        <v>104</v>
      </c>
      <c r="C7" s="194">
        <v>2017</v>
      </c>
      <c r="D7" s="194">
        <v>2018</v>
      </c>
      <c r="E7" s="218">
        <v>2019</v>
      </c>
    </row>
    <row r="8" spans="1:5" ht="15.75">
      <c r="A8" s="210" t="s">
        <v>337</v>
      </c>
      <c r="B8" s="211"/>
      <c r="C8" s="212"/>
      <c r="D8" s="212"/>
      <c r="E8" s="213"/>
    </row>
    <row r="9" spans="1:5" ht="15.75">
      <c r="A9" s="49" t="s">
        <v>6</v>
      </c>
      <c r="B9" s="46" t="s">
        <v>7</v>
      </c>
      <c r="C9" s="47">
        <f>SUM(C10:C11)</f>
        <v>33791</v>
      </c>
      <c r="D9" s="47">
        <f>SUM(D10:D11)</f>
        <v>39687</v>
      </c>
      <c r="E9" s="50">
        <f>SUM(E10:E11)</f>
        <v>44593</v>
      </c>
    </row>
    <row r="10" spans="1:5" ht="15.75">
      <c r="A10" s="48" t="s">
        <v>105</v>
      </c>
      <c r="B10" s="45" t="s">
        <v>106</v>
      </c>
      <c r="C10" s="200">
        <v>22916</v>
      </c>
      <c r="D10" s="200">
        <v>23374</v>
      </c>
      <c r="E10" s="201">
        <v>24842</v>
      </c>
    </row>
    <row r="11" spans="1:5" ht="15.75">
      <c r="A11" s="48" t="s">
        <v>111</v>
      </c>
      <c r="B11" s="45" t="s">
        <v>112</v>
      </c>
      <c r="C11" s="200">
        <v>10875</v>
      </c>
      <c r="D11" s="200">
        <v>16313</v>
      </c>
      <c r="E11" s="201">
        <v>19751</v>
      </c>
    </row>
    <row r="12" spans="1:5" ht="15.75">
      <c r="A12" s="49" t="s">
        <v>8</v>
      </c>
      <c r="B12" s="46" t="s">
        <v>113</v>
      </c>
      <c r="C12" s="47">
        <v>0</v>
      </c>
      <c r="D12" s="47">
        <v>0</v>
      </c>
      <c r="E12" s="198">
        <v>0</v>
      </c>
    </row>
    <row r="13" spans="1:5" ht="15.75">
      <c r="A13" s="49" t="s">
        <v>9</v>
      </c>
      <c r="B13" s="46" t="s">
        <v>10</v>
      </c>
      <c r="C13" s="47">
        <f>SUM(C14:C17)</f>
        <v>3475</v>
      </c>
      <c r="D13" s="47">
        <f>SUM(D14:D17)</f>
        <v>3475</v>
      </c>
      <c r="E13" s="50">
        <f>SUM(E14:E17)</f>
        <v>3475</v>
      </c>
    </row>
    <row r="14" spans="1:5" ht="15.75">
      <c r="A14" s="48"/>
      <c r="B14" s="44" t="s">
        <v>116</v>
      </c>
      <c r="C14" s="200">
        <v>1100</v>
      </c>
      <c r="D14" s="200">
        <v>1100</v>
      </c>
      <c r="E14" s="201">
        <v>1100</v>
      </c>
    </row>
    <row r="15" spans="1:5" ht="15.75">
      <c r="A15" s="48"/>
      <c r="B15" s="44" t="s">
        <v>339</v>
      </c>
      <c r="C15" s="200">
        <v>1400</v>
      </c>
      <c r="D15" s="200">
        <v>1400</v>
      </c>
      <c r="E15" s="201">
        <v>1400</v>
      </c>
    </row>
    <row r="16" spans="1:5" ht="15.75">
      <c r="A16" s="48"/>
      <c r="B16" s="44" t="s">
        <v>123</v>
      </c>
      <c r="C16" s="200">
        <v>925</v>
      </c>
      <c r="D16" s="200">
        <v>925</v>
      </c>
      <c r="E16" s="201">
        <v>925</v>
      </c>
    </row>
    <row r="17" spans="1:5" ht="15.75">
      <c r="A17" s="48"/>
      <c r="B17" s="44" t="s">
        <v>125</v>
      </c>
      <c r="C17" s="200">
        <v>50</v>
      </c>
      <c r="D17" s="200">
        <v>50</v>
      </c>
      <c r="E17" s="201">
        <v>50</v>
      </c>
    </row>
    <row r="18" spans="1:5" ht="15.75">
      <c r="A18" s="49" t="s">
        <v>11</v>
      </c>
      <c r="B18" s="46" t="s">
        <v>12</v>
      </c>
      <c r="C18" s="47">
        <f>SUM(C19:C22)</f>
        <v>3000</v>
      </c>
      <c r="D18" s="47">
        <f>SUM(D19:D22)</f>
        <v>3026</v>
      </c>
      <c r="E18" s="50">
        <f>SUM(E19:E22)</f>
        <v>3052</v>
      </c>
    </row>
    <row r="19" spans="1:5" ht="15.75">
      <c r="A19" s="48" t="s">
        <v>129</v>
      </c>
      <c r="B19" s="44" t="s">
        <v>333</v>
      </c>
      <c r="C19" s="200">
        <v>1000</v>
      </c>
      <c r="D19" s="200">
        <v>1000</v>
      </c>
      <c r="E19" s="202">
        <v>1000</v>
      </c>
    </row>
    <row r="20" spans="1:5" ht="15.75">
      <c r="A20" s="48" t="s">
        <v>131</v>
      </c>
      <c r="B20" s="44" t="s">
        <v>132</v>
      </c>
      <c r="C20" s="200">
        <v>500</v>
      </c>
      <c r="D20" s="200">
        <v>500</v>
      </c>
      <c r="E20" s="201">
        <v>500</v>
      </c>
    </row>
    <row r="21" spans="1:5" ht="15.75">
      <c r="A21" s="48" t="s">
        <v>133</v>
      </c>
      <c r="B21" s="44" t="s">
        <v>134</v>
      </c>
      <c r="C21" s="200">
        <v>1300</v>
      </c>
      <c r="D21" s="200">
        <v>1326</v>
      </c>
      <c r="E21" s="201">
        <v>1352</v>
      </c>
    </row>
    <row r="22" spans="1:5" ht="15.75">
      <c r="A22" s="48" t="s">
        <v>148</v>
      </c>
      <c r="B22" s="44" t="s">
        <v>149</v>
      </c>
      <c r="C22" s="200">
        <v>200</v>
      </c>
      <c r="D22" s="200">
        <v>200</v>
      </c>
      <c r="E22" s="201">
        <v>200</v>
      </c>
    </row>
    <row r="23" spans="1:5" ht="15.75">
      <c r="A23" s="49" t="s">
        <v>14</v>
      </c>
      <c r="B23" s="46" t="s">
        <v>15</v>
      </c>
      <c r="C23" s="47">
        <v>0</v>
      </c>
      <c r="D23" s="47">
        <v>0</v>
      </c>
      <c r="E23" s="50">
        <v>0</v>
      </c>
    </row>
    <row r="24" spans="1:5" ht="15.75">
      <c r="A24" s="49" t="s">
        <v>16</v>
      </c>
      <c r="B24" s="46" t="s">
        <v>17</v>
      </c>
      <c r="C24" s="47">
        <v>0</v>
      </c>
      <c r="D24" s="47">
        <v>0</v>
      </c>
      <c r="E24" s="50">
        <v>0</v>
      </c>
    </row>
    <row r="25" spans="1:5" ht="15.75">
      <c r="A25" s="48"/>
      <c r="B25" s="44" t="s">
        <v>334</v>
      </c>
      <c r="C25" s="200">
        <v>0</v>
      </c>
      <c r="D25" s="200">
        <v>0</v>
      </c>
      <c r="E25" s="205">
        <v>0</v>
      </c>
    </row>
    <row r="26" spans="1:5" ht="15.75">
      <c r="A26" s="48"/>
      <c r="B26" s="44" t="s">
        <v>155</v>
      </c>
      <c r="C26" s="200">
        <v>0</v>
      </c>
      <c r="D26" s="47">
        <v>0</v>
      </c>
      <c r="E26" s="50">
        <v>0</v>
      </c>
    </row>
    <row r="27" spans="1:5" ht="15.75">
      <c r="A27" s="49" t="s">
        <v>18</v>
      </c>
      <c r="B27" s="46" t="s">
        <v>19</v>
      </c>
      <c r="C27" s="47">
        <v>0</v>
      </c>
      <c r="D27" s="47">
        <v>0</v>
      </c>
      <c r="E27" s="50">
        <v>0</v>
      </c>
    </row>
    <row r="28" spans="1:5" ht="15.75">
      <c r="A28" s="48"/>
      <c r="B28" s="44" t="s">
        <v>335</v>
      </c>
      <c r="C28" s="200">
        <v>0</v>
      </c>
      <c r="D28" s="47">
        <v>0</v>
      </c>
      <c r="E28" s="50">
        <v>0</v>
      </c>
    </row>
    <row r="29" spans="1:5" ht="15.75">
      <c r="A29" s="49" t="s">
        <v>20</v>
      </c>
      <c r="B29" s="195" t="s">
        <v>21</v>
      </c>
      <c r="C29" s="196">
        <f>SUM(C9,C13,C18,C23,C24,C27)</f>
        <v>40266</v>
      </c>
      <c r="D29" s="196">
        <f>D27+D24+D23+D18+D13+D9</f>
        <v>46188</v>
      </c>
      <c r="E29" s="215">
        <f>SUM(E9,E13,E18,E23,E24,E27)</f>
        <v>51120</v>
      </c>
    </row>
    <row r="30" spans="1:5" ht="15.75">
      <c r="A30" s="49" t="s">
        <v>23</v>
      </c>
      <c r="B30" s="46" t="s">
        <v>22</v>
      </c>
      <c r="C30" s="47">
        <v>0</v>
      </c>
      <c r="D30" s="47">
        <v>0</v>
      </c>
      <c r="E30" s="198"/>
    </row>
    <row r="31" spans="1:5" ht="16.5" thickBot="1">
      <c r="A31" s="63" t="s">
        <v>24</v>
      </c>
      <c r="B31" s="51" t="s">
        <v>25</v>
      </c>
      <c r="C31" s="52">
        <f>SUM(C29:C30)</f>
        <v>40266</v>
      </c>
      <c r="D31" s="52">
        <f>SUM(D29:D30)</f>
        <v>46188</v>
      </c>
      <c r="E31" s="53">
        <f>SUM(E29:E30)</f>
        <v>51120</v>
      </c>
    </row>
    <row r="32" spans="1:5" ht="16.5" thickBot="1">
      <c r="A32" s="207"/>
      <c r="B32" s="207"/>
      <c r="C32" s="208"/>
      <c r="D32" s="208"/>
      <c r="E32" s="209"/>
    </row>
    <row r="33" spans="1:5" ht="25.5">
      <c r="A33" s="193" t="s">
        <v>0</v>
      </c>
      <c r="B33" s="194" t="s">
        <v>104</v>
      </c>
      <c r="C33" s="216">
        <v>2017</v>
      </c>
      <c r="D33" s="216">
        <v>2018</v>
      </c>
      <c r="E33" s="217">
        <v>2019</v>
      </c>
    </row>
    <row r="34" spans="1:5" ht="15.75">
      <c r="A34" s="214" t="s">
        <v>338</v>
      </c>
      <c r="B34" s="197"/>
      <c r="C34" s="203"/>
      <c r="D34" s="203"/>
      <c r="E34" s="204"/>
    </row>
    <row r="35" spans="1:5" ht="15.75">
      <c r="A35" s="49" t="s">
        <v>26</v>
      </c>
      <c r="B35" s="46" t="s">
        <v>27</v>
      </c>
      <c r="C35" s="47">
        <v>19540</v>
      </c>
      <c r="D35" s="47">
        <v>23402</v>
      </c>
      <c r="E35" s="50">
        <v>27942</v>
      </c>
    </row>
    <row r="36" spans="1:5" ht="31.5">
      <c r="A36" s="49" t="s">
        <v>28</v>
      </c>
      <c r="B36" s="46" t="s">
        <v>169</v>
      </c>
      <c r="C36" s="47">
        <v>5275</v>
      </c>
      <c r="D36" s="47">
        <v>6857</v>
      </c>
      <c r="E36" s="50">
        <v>7542</v>
      </c>
    </row>
    <row r="37" spans="1:5" ht="15.75">
      <c r="A37" s="49" t="s">
        <v>29</v>
      </c>
      <c r="B37" s="46" t="s">
        <v>30</v>
      </c>
      <c r="C37" s="47">
        <v>9868</v>
      </c>
      <c r="D37" s="47">
        <v>10065</v>
      </c>
      <c r="E37" s="50">
        <v>10266</v>
      </c>
    </row>
    <row r="38" spans="1:5" ht="15.75">
      <c r="A38" s="49" t="s">
        <v>31</v>
      </c>
      <c r="B38" s="46" t="s">
        <v>32</v>
      </c>
      <c r="C38" s="47">
        <v>3736</v>
      </c>
      <c r="D38" s="47">
        <v>3791</v>
      </c>
      <c r="E38" s="50">
        <v>3847</v>
      </c>
    </row>
    <row r="39" spans="1:5" ht="15.75">
      <c r="A39" s="49" t="s">
        <v>33</v>
      </c>
      <c r="B39" s="46" t="s">
        <v>170</v>
      </c>
      <c r="C39" s="47">
        <v>757</v>
      </c>
      <c r="D39" s="47">
        <v>1423</v>
      </c>
      <c r="E39" s="50">
        <v>773</v>
      </c>
    </row>
    <row r="40" spans="1:5" ht="15.75">
      <c r="A40" s="48" t="s">
        <v>96</v>
      </c>
      <c r="B40" s="44" t="s">
        <v>336</v>
      </c>
      <c r="C40" s="200">
        <v>500</v>
      </c>
      <c r="D40" s="200">
        <v>1100</v>
      </c>
      <c r="E40" s="205">
        <v>500</v>
      </c>
    </row>
    <row r="41" spans="1:5" ht="15.75">
      <c r="A41" s="49" t="s">
        <v>34</v>
      </c>
      <c r="B41" s="46" t="s">
        <v>35</v>
      </c>
      <c r="C41" s="47">
        <v>300</v>
      </c>
      <c r="D41" s="47">
        <v>300</v>
      </c>
      <c r="E41" s="199">
        <v>300</v>
      </c>
    </row>
    <row r="42" spans="1:5" ht="15.75">
      <c r="A42" s="49" t="s">
        <v>36</v>
      </c>
      <c r="B42" s="46" t="s">
        <v>37</v>
      </c>
      <c r="C42" s="47">
        <v>250</v>
      </c>
      <c r="D42" s="47">
        <v>350</v>
      </c>
      <c r="E42" s="50">
        <v>450</v>
      </c>
    </row>
    <row r="43" spans="1:5" ht="15.75">
      <c r="A43" s="49" t="s">
        <v>38</v>
      </c>
      <c r="B43" s="46" t="s">
        <v>182</v>
      </c>
      <c r="C43" s="47">
        <v>540</v>
      </c>
      <c r="D43" s="47"/>
      <c r="E43" s="206"/>
    </row>
    <row r="44" spans="1:5" ht="15.75">
      <c r="A44" s="49" t="s">
        <v>39</v>
      </c>
      <c r="B44" s="46" t="s">
        <v>183</v>
      </c>
      <c r="C44" s="47">
        <f>C43+C42+C41+C39+C38+C37+C36+C35</f>
        <v>40266</v>
      </c>
      <c r="D44" s="47">
        <f>D43+D42+D41+D39+D38+D37+D36+D35</f>
        <v>46188</v>
      </c>
      <c r="E44" s="50">
        <f>E43+E42+E41+E39+E38+E37+E36+E35</f>
        <v>51120</v>
      </c>
    </row>
    <row r="45" spans="1:5" ht="15.75">
      <c r="A45" s="49" t="s">
        <v>40</v>
      </c>
      <c r="B45" s="46" t="s">
        <v>41</v>
      </c>
      <c r="C45" s="47"/>
      <c r="D45" s="47"/>
      <c r="E45" s="206"/>
    </row>
    <row r="46" spans="1:5" ht="16.5" thickBot="1">
      <c r="A46" s="63" t="s">
        <v>42</v>
      </c>
      <c r="B46" s="51" t="s">
        <v>43</v>
      </c>
      <c r="C46" s="52">
        <f>C45+C44</f>
        <v>40266</v>
      </c>
      <c r="D46" s="52">
        <f>D45+D44</f>
        <v>46188</v>
      </c>
      <c r="E46" s="53">
        <f>E45+E44</f>
        <v>51120</v>
      </c>
    </row>
  </sheetData>
  <sheetProtection/>
  <mergeCells count="2">
    <mergeCell ref="A3:E3"/>
    <mergeCell ref="A4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2.8515625" style="0" customWidth="1"/>
    <col min="3" max="3" width="13.00390625" style="0" customWidth="1"/>
  </cols>
  <sheetData>
    <row r="1" spans="1:2" ht="15">
      <c r="A1">
        <f>Közvilágítás!A1+8</f>
        <v>16</v>
      </c>
      <c r="B1" s="64">
        <f>Ovi!B2</f>
        <v>0</v>
      </c>
    </row>
    <row r="4" spans="1:8" ht="15.75">
      <c r="A4" s="904" t="s">
        <v>355</v>
      </c>
      <c r="B4" s="904"/>
      <c r="C4" s="904"/>
      <c r="D4" s="904"/>
      <c r="E4" s="904"/>
      <c r="F4" s="904"/>
      <c r="G4" s="904"/>
      <c r="H4" s="904"/>
    </row>
    <row r="5" spans="1:8" ht="15.75">
      <c r="A5" s="904" t="s">
        <v>195</v>
      </c>
      <c r="B5" s="904"/>
      <c r="C5" s="904"/>
      <c r="D5" s="904"/>
      <c r="E5" s="904"/>
      <c r="F5" s="904"/>
      <c r="G5" s="904"/>
      <c r="H5" s="904"/>
    </row>
    <row r="6" spans="1:7" ht="15.75">
      <c r="A6" s="231"/>
      <c r="B6" s="219"/>
      <c r="C6" s="219"/>
      <c r="D6" s="219"/>
      <c r="E6" s="219"/>
      <c r="F6" s="219"/>
      <c r="G6" s="219"/>
    </row>
    <row r="7" spans="1:7" ht="15.75" thickBot="1">
      <c r="A7" s="220"/>
      <c r="B7" s="220"/>
      <c r="C7" s="220"/>
      <c r="D7" s="220"/>
      <c r="E7" s="219"/>
      <c r="F7" s="219"/>
      <c r="G7" s="232" t="s">
        <v>346</v>
      </c>
    </row>
    <row r="8" spans="1:7" ht="33.75">
      <c r="A8" s="223" t="s">
        <v>341</v>
      </c>
      <c r="B8" s="224"/>
      <c r="C8" s="233" t="s">
        <v>347</v>
      </c>
      <c r="D8" s="233">
        <v>2016</v>
      </c>
      <c r="E8" s="233">
        <v>2017</v>
      </c>
      <c r="F8" s="233">
        <v>2018</v>
      </c>
      <c r="G8" s="234">
        <v>2019</v>
      </c>
    </row>
    <row r="9" spans="1:7" ht="15">
      <c r="A9" s="900" t="s">
        <v>344</v>
      </c>
      <c r="B9" s="225" t="s">
        <v>345</v>
      </c>
      <c r="C9" s="226">
        <v>1758</v>
      </c>
      <c r="D9" s="227">
        <v>540</v>
      </c>
      <c r="E9" s="227">
        <v>540</v>
      </c>
      <c r="F9" s="227">
        <v>540</v>
      </c>
      <c r="G9" s="228">
        <v>133</v>
      </c>
    </row>
    <row r="10" spans="1:7" ht="15">
      <c r="A10" s="901"/>
      <c r="B10" s="225" t="s">
        <v>342</v>
      </c>
      <c r="C10" s="227"/>
      <c r="D10" s="227">
        <v>112</v>
      </c>
      <c r="E10" s="227">
        <v>73</v>
      </c>
      <c r="F10" s="227">
        <v>34</v>
      </c>
      <c r="G10" s="228">
        <v>2</v>
      </c>
    </row>
    <row r="11" spans="1:7" ht="23.25" customHeight="1" thickBot="1">
      <c r="A11" s="902" t="s">
        <v>343</v>
      </c>
      <c r="B11" s="903"/>
      <c r="C11" s="229"/>
      <c r="D11" s="229">
        <f>D9+D10</f>
        <v>652</v>
      </c>
      <c r="E11" s="229">
        <f>E9+E10</f>
        <v>613</v>
      </c>
      <c r="F11" s="229">
        <f>F9+F10</f>
        <v>574</v>
      </c>
      <c r="G11" s="230">
        <f>G9+G10</f>
        <v>135</v>
      </c>
    </row>
    <row r="12" spans="1:7" ht="15">
      <c r="A12" s="221"/>
      <c r="B12" s="221"/>
      <c r="C12" s="222"/>
      <c r="D12" s="222"/>
      <c r="E12" s="222"/>
      <c r="F12" s="222"/>
      <c r="G12" s="222"/>
    </row>
  </sheetData>
  <sheetProtection/>
  <mergeCells count="4">
    <mergeCell ref="A9:A10"/>
    <mergeCell ref="A11:B11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62">
      <selection activeCell="O86" sqref="O86"/>
    </sheetView>
  </sheetViews>
  <sheetFormatPr defaultColWidth="9.140625" defaultRowHeight="15"/>
  <cols>
    <col min="1" max="1" width="4.7109375" style="265" customWidth="1"/>
    <col min="2" max="2" width="34.57421875" style="265" customWidth="1"/>
    <col min="3" max="3" width="11.28125" style="265" hidden="1" customWidth="1"/>
    <col min="4" max="4" width="8.28125" style="265" hidden="1" customWidth="1"/>
    <col min="5" max="5" width="10.421875" style="265" bestFit="1" customWidth="1"/>
    <col min="6" max="6" width="9.140625" style="265" customWidth="1"/>
    <col min="7" max="7" width="12.8515625" style="265" hidden="1" customWidth="1"/>
    <col min="8" max="9" width="9.140625" style="265" hidden="1" customWidth="1"/>
    <col min="10" max="10" width="9.8515625" style="265" customWidth="1"/>
    <col min="11" max="12" width="8.7109375" style="265" customWidth="1"/>
    <col min="13" max="13" width="10.8515625" style="265" bestFit="1" customWidth="1"/>
    <col min="14" max="14" width="9.140625" style="265" customWidth="1"/>
    <col min="15" max="15" width="9.8515625" style="265" bestFit="1" customWidth="1"/>
    <col min="16" max="16384" width="9.140625" style="265" customWidth="1"/>
  </cols>
  <sheetData>
    <row r="1" spans="1:2" ht="11.25">
      <c r="A1" s="68">
        <v>1</v>
      </c>
      <c r="B1" s="265" t="s">
        <v>370</v>
      </c>
    </row>
    <row r="2" spans="1:5" ht="11.25">
      <c r="A2" s="277"/>
      <c r="B2" s="277"/>
      <c r="C2" s="277"/>
      <c r="D2" s="277"/>
      <c r="E2" s="277"/>
    </row>
    <row r="3" spans="1:13" ht="21.75" customHeight="1">
      <c r="A3" s="905" t="s">
        <v>383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</row>
    <row r="4" spans="1:13" ht="11.25">
      <c r="A4" s="905" t="s">
        <v>195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</row>
    <row r="5" spans="1:13" ht="12" thickBot="1">
      <c r="A5" s="7"/>
      <c r="B5" s="7"/>
      <c r="C5" s="7"/>
      <c r="D5" s="7"/>
      <c r="E5" s="8"/>
      <c r="M5" s="68" t="s">
        <v>363</v>
      </c>
    </row>
    <row r="6" spans="1:13" ht="45.75" thickBot="1">
      <c r="A6" s="30" t="s">
        <v>0</v>
      </c>
      <c r="B6" s="31" t="s">
        <v>104</v>
      </c>
      <c r="C6" s="31" t="s">
        <v>2</v>
      </c>
      <c r="D6" s="31" t="s">
        <v>3</v>
      </c>
      <c r="E6" s="35" t="s">
        <v>322</v>
      </c>
      <c r="F6" s="238" t="s">
        <v>356</v>
      </c>
      <c r="G6" s="238"/>
      <c r="H6" s="238" t="s">
        <v>194</v>
      </c>
      <c r="I6" s="238"/>
      <c r="J6" s="238" t="s">
        <v>357</v>
      </c>
      <c r="K6" s="238" t="s">
        <v>358</v>
      </c>
      <c r="L6" s="263" t="s">
        <v>393</v>
      </c>
      <c r="M6" s="374" t="s">
        <v>359</v>
      </c>
    </row>
    <row r="7" spans="1:17" ht="12" thickBot="1">
      <c r="A7" s="9" t="s">
        <v>6</v>
      </c>
      <c r="B7" s="10" t="s">
        <v>7</v>
      </c>
      <c r="C7" s="11">
        <f>C8+C15+C16+C17</f>
        <v>23072</v>
      </c>
      <c r="D7" s="11">
        <f>SUM(D8,D15,D16,D17)</f>
        <v>0</v>
      </c>
      <c r="E7" s="375">
        <f>SUM(E8,E15,E16,E17)</f>
        <v>26072000</v>
      </c>
      <c r="F7" s="376">
        <f aca="true" t="shared" si="0" ref="F7:K7">F8+F15+F16+F17</f>
        <v>32932874</v>
      </c>
      <c r="G7" s="376">
        <f t="shared" si="0"/>
        <v>0</v>
      </c>
      <c r="H7" s="376">
        <f t="shared" si="0"/>
        <v>0</v>
      </c>
      <c r="I7" s="376">
        <f t="shared" si="0"/>
        <v>0</v>
      </c>
      <c r="J7" s="376">
        <f t="shared" si="0"/>
        <v>1905838</v>
      </c>
      <c r="K7" s="376">
        <f t="shared" si="0"/>
        <v>0</v>
      </c>
      <c r="L7" s="376">
        <f>Összevont!L8</f>
        <v>7404348</v>
      </c>
      <c r="M7" s="377">
        <f>E7+F7+J7+K7+L7</f>
        <v>68315060</v>
      </c>
      <c r="O7" s="266"/>
      <c r="Q7" s="266"/>
    </row>
    <row r="8" spans="1:13" ht="11.25">
      <c r="A8" s="38" t="s">
        <v>105</v>
      </c>
      <c r="B8" s="378" t="s">
        <v>106</v>
      </c>
      <c r="C8" s="15">
        <f aca="true" t="shared" si="1" ref="C8:L8">SUM(C9:C14)</f>
        <v>22916</v>
      </c>
      <c r="D8" s="15">
        <f t="shared" si="1"/>
        <v>0</v>
      </c>
      <c r="E8" s="241">
        <f>SUM(E9:E14)</f>
        <v>22916000</v>
      </c>
      <c r="F8" s="249">
        <f t="shared" si="1"/>
        <v>342781</v>
      </c>
      <c r="G8" s="249">
        <f t="shared" si="1"/>
        <v>0</v>
      </c>
      <c r="H8" s="249">
        <f t="shared" si="1"/>
        <v>0</v>
      </c>
      <c r="I8" s="249">
        <f t="shared" si="1"/>
        <v>0</v>
      </c>
      <c r="J8" s="249">
        <f t="shared" si="1"/>
        <v>818183</v>
      </c>
      <c r="K8" s="249">
        <f t="shared" si="1"/>
        <v>3000000</v>
      </c>
      <c r="L8" s="249">
        <f t="shared" si="1"/>
        <v>1848848</v>
      </c>
      <c r="M8" s="244">
        <f>E8+F8+J8+K8</f>
        <v>27076964</v>
      </c>
    </row>
    <row r="9" spans="1:13" ht="22.5">
      <c r="A9" s="34"/>
      <c r="B9" s="20" t="s">
        <v>379</v>
      </c>
      <c r="C9" s="21">
        <v>7776</v>
      </c>
      <c r="D9" s="21"/>
      <c r="E9" s="62">
        <v>7776011</v>
      </c>
      <c r="F9" s="250">
        <v>29002</v>
      </c>
      <c r="G9" s="250"/>
      <c r="H9" s="250"/>
      <c r="I9" s="250"/>
      <c r="J9" s="250">
        <v>789608</v>
      </c>
      <c r="K9" s="250"/>
      <c r="L9" s="417">
        <v>526409</v>
      </c>
      <c r="M9" s="246">
        <f aca="true" t="shared" si="2" ref="M9:M14">E9+F9+J9+K9+L9</f>
        <v>9121030</v>
      </c>
    </row>
    <row r="10" spans="1:13" ht="22.5">
      <c r="A10" s="34"/>
      <c r="B10" s="20" t="s">
        <v>380</v>
      </c>
      <c r="C10" s="21">
        <f>9028</f>
        <v>9028</v>
      </c>
      <c r="D10" s="21"/>
      <c r="E10" s="62">
        <v>9027733</v>
      </c>
      <c r="F10" s="250">
        <v>0</v>
      </c>
      <c r="G10" s="250"/>
      <c r="H10" s="250"/>
      <c r="I10" s="250"/>
      <c r="J10" s="250"/>
      <c r="K10" s="250"/>
      <c r="L10" s="417">
        <v>347533</v>
      </c>
      <c r="M10" s="246">
        <f t="shared" si="2"/>
        <v>9375266</v>
      </c>
    </row>
    <row r="11" spans="1:13" ht="22.5">
      <c r="A11" s="34"/>
      <c r="B11" s="20" t="s">
        <v>381</v>
      </c>
      <c r="C11" s="21">
        <v>4912</v>
      </c>
      <c r="D11" s="21"/>
      <c r="E11" s="62">
        <v>4912256</v>
      </c>
      <c r="F11" s="250">
        <v>0</v>
      </c>
      <c r="G11" s="250"/>
      <c r="H11" s="250"/>
      <c r="I11" s="250"/>
      <c r="J11" s="250"/>
      <c r="K11" s="250"/>
      <c r="L11" s="417">
        <v>589544</v>
      </c>
      <c r="M11" s="246">
        <f t="shared" si="2"/>
        <v>5501800</v>
      </c>
    </row>
    <row r="12" spans="1:13" ht="22.5">
      <c r="A12" s="34"/>
      <c r="B12" s="20" t="s">
        <v>378</v>
      </c>
      <c r="C12" s="21">
        <v>1200</v>
      </c>
      <c r="D12" s="21"/>
      <c r="E12" s="62">
        <v>1200000</v>
      </c>
      <c r="F12" s="250">
        <v>0</v>
      </c>
      <c r="G12" s="250"/>
      <c r="H12" s="250"/>
      <c r="I12" s="250"/>
      <c r="J12" s="250"/>
      <c r="K12" s="250"/>
      <c r="L12" s="417"/>
      <c r="M12" s="246">
        <f t="shared" si="2"/>
        <v>1200000</v>
      </c>
    </row>
    <row r="13" spans="1:13" ht="22.5">
      <c r="A13" s="34"/>
      <c r="B13" s="23" t="s">
        <v>377</v>
      </c>
      <c r="C13" s="21">
        <v>0</v>
      </c>
      <c r="D13" s="21"/>
      <c r="E13" s="62"/>
      <c r="F13" s="250">
        <v>157939</v>
      </c>
      <c r="G13" s="250"/>
      <c r="H13" s="250"/>
      <c r="I13" s="250"/>
      <c r="J13" s="250">
        <v>28575</v>
      </c>
      <c r="K13" s="250">
        <v>3000000</v>
      </c>
      <c r="L13" s="417">
        <v>385362</v>
      </c>
      <c r="M13" s="246">
        <f t="shared" si="2"/>
        <v>3571876</v>
      </c>
    </row>
    <row r="14" spans="1:13" ht="22.5">
      <c r="A14" s="34"/>
      <c r="B14" s="20" t="s">
        <v>376</v>
      </c>
      <c r="C14" s="21">
        <v>0</v>
      </c>
      <c r="D14" s="21"/>
      <c r="E14" s="62">
        <f>C14+D14</f>
        <v>0</v>
      </c>
      <c r="F14" s="250">
        <v>155840</v>
      </c>
      <c r="G14" s="250"/>
      <c r="H14" s="250"/>
      <c r="I14" s="250"/>
      <c r="J14" s="250"/>
      <c r="K14" s="250"/>
      <c r="L14" s="417"/>
      <c r="M14" s="246">
        <f t="shared" si="2"/>
        <v>155840</v>
      </c>
    </row>
    <row r="15" spans="1:13" ht="12">
      <c r="A15" s="34" t="s">
        <v>107</v>
      </c>
      <c r="B15" s="379" t="s">
        <v>108</v>
      </c>
      <c r="C15" s="21">
        <v>156</v>
      </c>
      <c r="D15" s="21"/>
      <c r="E15" s="62">
        <v>156000</v>
      </c>
      <c r="F15" s="250">
        <v>-156000</v>
      </c>
      <c r="G15" s="250"/>
      <c r="H15" s="250"/>
      <c r="I15" s="250"/>
      <c r="J15" s="250"/>
      <c r="K15" s="250"/>
      <c r="L15" s="417"/>
      <c r="M15" s="246">
        <f>E15+F15+J15+K15</f>
        <v>0</v>
      </c>
    </row>
    <row r="16" spans="1:13" ht="22.5">
      <c r="A16" s="34" t="s">
        <v>109</v>
      </c>
      <c r="B16" s="379" t="s">
        <v>110</v>
      </c>
      <c r="C16" s="21">
        <v>0</v>
      </c>
      <c r="D16" s="21"/>
      <c r="E16" s="62"/>
      <c r="F16" s="250"/>
      <c r="G16" s="250"/>
      <c r="H16" s="250"/>
      <c r="I16" s="250"/>
      <c r="J16" s="250"/>
      <c r="K16" s="250"/>
      <c r="L16" s="417"/>
      <c r="M16" s="246"/>
    </row>
    <row r="17" spans="1:13" ht="23.25" thickBot="1">
      <c r="A17" s="40" t="s">
        <v>111</v>
      </c>
      <c r="B17" s="380" t="s">
        <v>112</v>
      </c>
      <c r="C17" s="17">
        <v>0</v>
      </c>
      <c r="D17" s="17">
        <v>0</v>
      </c>
      <c r="E17" s="257">
        <v>3000000</v>
      </c>
      <c r="F17" s="251">
        <f>Start!F10-28575</f>
        <v>32746093</v>
      </c>
      <c r="G17" s="251"/>
      <c r="H17" s="251"/>
      <c r="I17" s="251"/>
      <c r="J17" s="251">
        <f>664745+422910</f>
        <v>1087655</v>
      </c>
      <c r="K17" s="251">
        <v>-3000000</v>
      </c>
      <c r="L17" s="418">
        <v>5555500</v>
      </c>
      <c r="M17" s="245">
        <f>E17+F17+J17+K17+L17</f>
        <v>39389248</v>
      </c>
    </row>
    <row r="18" spans="1:13" ht="23.25" thickBot="1">
      <c r="A18" s="9" t="s">
        <v>8</v>
      </c>
      <c r="B18" s="10" t="s">
        <v>113</v>
      </c>
      <c r="C18" s="11">
        <f>Önkormányzat!E11+Start!E11+Községgazd!G11+Könyvtár!H11+Ovi!E11+Közvilágítás!H11+Közút!E10</f>
        <v>43000</v>
      </c>
      <c r="D18" s="11">
        <v>0</v>
      </c>
      <c r="E18" s="55">
        <f>(C18+D18)</f>
        <v>43000</v>
      </c>
      <c r="F18" s="252">
        <f>Önkormányzat!F11+Start!F11</f>
        <v>6082065</v>
      </c>
      <c r="G18" s="252"/>
      <c r="H18" s="252">
        <f>E18-(Önkormányzat!E11+Start!E11+Községgazd!G11+Könyvtár!H11+Ovi!E11)</f>
        <v>0</v>
      </c>
      <c r="I18" s="252"/>
      <c r="J18" s="252">
        <v>15000000</v>
      </c>
      <c r="K18" s="252"/>
      <c r="L18" s="424">
        <f>Önkormányzat!I11+Start!I11+Községgazd!F11</f>
        <v>-110230</v>
      </c>
      <c r="M18" s="247">
        <f>E18+F18+J18+K18+L18</f>
        <v>21014835</v>
      </c>
    </row>
    <row r="19" spans="1:13" ht="12" thickBot="1">
      <c r="A19" s="9" t="s">
        <v>9</v>
      </c>
      <c r="B19" s="10" t="s">
        <v>10</v>
      </c>
      <c r="C19" s="11">
        <f>SUM(C20,C22,C26)</f>
        <v>3050</v>
      </c>
      <c r="D19" s="11">
        <f>SUM(D20:D29)</f>
        <v>0</v>
      </c>
      <c r="E19" s="55">
        <f aca="true" t="shared" si="3" ref="E19:E26">(C19+D19)*1000</f>
        <v>3050000</v>
      </c>
      <c r="F19" s="252">
        <f aca="true" t="shared" si="4" ref="F19:K19">F20+F22+F26</f>
        <v>0</v>
      </c>
      <c r="G19" s="252">
        <f t="shared" si="4"/>
        <v>0</v>
      </c>
      <c r="H19" s="252">
        <f t="shared" si="4"/>
        <v>0</v>
      </c>
      <c r="I19" s="252">
        <f t="shared" si="4"/>
        <v>0</v>
      </c>
      <c r="J19" s="252">
        <f t="shared" si="4"/>
        <v>0</v>
      </c>
      <c r="K19" s="252">
        <f t="shared" si="4"/>
        <v>1300000</v>
      </c>
      <c r="L19" s="424">
        <f>Önkormányzat!I12+Start!I12+Községgazd!F12</f>
        <v>0</v>
      </c>
      <c r="M19" s="247">
        <f aca="true" t="shared" si="5" ref="M19:M26">E19+F19+J19+K19</f>
        <v>4350000</v>
      </c>
    </row>
    <row r="20" spans="1:13" ht="11.25">
      <c r="A20" s="38" t="s">
        <v>114</v>
      </c>
      <c r="B20" s="378" t="s">
        <v>115</v>
      </c>
      <c r="C20" s="381">
        <f>SUM(C21:C21)</f>
        <v>1100</v>
      </c>
      <c r="D20" s="381"/>
      <c r="E20" s="382">
        <f t="shared" si="3"/>
        <v>1100000</v>
      </c>
      <c r="F20" s="249">
        <f aca="true" t="shared" si="6" ref="F20:K20">F21</f>
        <v>0</v>
      </c>
      <c r="G20" s="249">
        <f t="shared" si="6"/>
        <v>0</v>
      </c>
      <c r="H20" s="249">
        <f t="shared" si="6"/>
        <v>0</v>
      </c>
      <c r="I20" s="249">
        <f t="shared" si="6"/>
        <v>0</v>
      </c>
      <c r="J20" s="249">
        <f t="shared" si="6"/>
        <v>0</v>
      </c>
      <c r="K20" s="249">
        <f t="shared" si="6"/>
        <v>0</v>
      </c>
      <c r="L20" s="428"/>
      <c r="M20" s="244">
        <f t="shared" si="5"/>
        <v>1100000</v>
      </c>
    </row>
    <row r="21" spans="1:13" ht="11.25">
      <c r="A21" s="34"/>
      <c r="B21" s="20" t="s">
        <v>116</v>
      </c>
      <c r="C21" s="21">
        <v>1100</v>
      </c>
      <c r="D21" s="21"/>
      <c r="E21" s="62">
        <f t="shared" si="3"/>
        <v>1100000</v>
      </c>
      <c r="F21" s="250">
        <v>0</v>
      </c>
      <c r="G21" s="250"/>
      <c r="H21" s="250"/>
      <c r="I21" s="250"/>
      <c r="J21" s="250">
        <v>0</v>
      </c>
      <c r="K21" s="250"/>
      <c r="L21" s="426"/>
      <c r="M21" s="246">
        <f t="shared" si="5"/>
        <v>1100000</v>
      </c>
    </row>
    <row r="22" spans="1:13" ht="11.25">
      <c r="A22" s="34" t="s">
        <v>117</v>
      </c>
      <c r="B22" s="379" t="s">
        <v>118</v>
      </c>
      <c r="C22" s="383">
        <f>SUM(C23+C25)</f>
        <v>1900</v>
      </c>
      <c r="D22" s="383"/>
      <c r="E22" s="384">
        <f t="shared" si="3"/>
        <v>1900000</v>
      </c>
      <c r="F22" s="250">
        <f aca="true" t="shared" si="7" ref="F22:K22">F23+F26</f>
        <v>0</v>
      </c>
      <c r="G22" s="250">
        <f t="shared" si="7"/>
        <v>0</v>
      </c>
      <c r="H22" s="250">
        <f t="shared" si="7"/>
        <v>0</v>
      </c>
      <c r="I22" s="250">
        <f t="shared" si="7"/>
        <v>0</v>
      </c>
      <c r="J22" s="250">
        <f t="shared" si="7"/>
        <v>0</v>
      </c>
      <c r="K22" s="250">
        <f t="shared" si="7"/>
        <v>1300000</v>
      </c>
      <c r="L22" s="426"/>
      <c r="M22" s="246">
        <f t="shared" si="5"/>
        <v>3200000</v>
      </c>
    </row>
    <row r="23" spans="1:13" ht="22.5">
      <c r="A23" s="34" t="s">
        <v>119</v>
      </c>
      <c r="B23" s="20" t="s">
        <v>120</v>
      </c>
      <c r="C23" s="21">
        <f>C24</f>
        <v>1100</v>
      </c>
      <c r="D23" s="21"/>
      <c r="E23" s="62">
        <f t="shared" si="3"/>
        <v>1100000</v>
      </c>
      <c r="F23" s="250">
        <f aca="true" t="shared" si="8" ref="F23:K23">F24</f>
        <v>0</v>
      </c>
      <c r="G23" s="250">
        <f t="shared" si="8"/>
        <v>0</v>
      </c>
      <c r="H23" s="250">
        <f t="shared" si="8"/>
        <v>0</v>
      </c>
      <c r="I23" s="250">
        <f t="shared" si="8"/>
        <v>0</v>
      </c>
      <c r="J23" s="250">
        <f t="shared" si="8"/>
        <v>0</v>
      </c>
      <c r="K23" s="250">
        <f t="shared" si="8"/>
        <v>1300000</v>
      </c>
      <c r="L23" s="426"/>
      <c r="M23" s="246">
        <f t="shared" si="5"/>
        <v>2400000</v>
      </c>
    </row>
    <row r="24" spans="1:13" ht="11.25">
      <c r="A24" s="34"/>
      <c r="B24" s="385" t="s">
        <v>121</v>
      </c>
      <c r="C24" s="21">
        <v>1100</v>
      </c>
      <c r="D24" s="21"/>
      <c r="E24" s="62">
        <f t="shared" si="3"/>
        <v>1100000</v>
      </c>
      <c r="F24" s="250">
        <v>0</v>
      </c>
      <c r="G24" s="250"/>
      <c r="H24" s="250"/>
      <c r="I24" s="250"/>
      <c r="J24" s="250">
        <v>0</v>
      </c>
      <c r="K24" s="250">
        <v>1300000</v>
      </c>
      <c r="L24" s="426"/>
      <c r="M24" s="246">
        <f t="shared" si="5"/>
        <v>2400000</v>
      </c>
    </row>
    <row r="25" spans="1:13" ht="22.5">
      <c r="A25" s="34" t="s">
        <v>122</v>
      </c>
      <c r="B25" s="20" t="s">
        <v>123</v>
      </c>
      <c r="C25" s="21">
        <v>800</v>
      </c>
      <c r="D25" s="21"/>
      <c r="E25" s="62">
        <f t="shared" si="3"/>
        <v>800000</v>
      </c>
      <c r="F25" s="250">
        <v>0</v>
      </c>
      <c r="G25" s="250"/>
      <c r="H25" s="250"/>
      <c r="I25" s="250"/>
      <c r="J25" s="250">
        <v>0</v>
      </c>
      <c r="K25" s="250"/>
      <c r="L25" s="426"/>
      <c r="M25" s="246">
        <f t="shared" si="5"/>
        <v>800000</v>
      </c>
    </row>
    <row r="26" spans="1:13" ht="11.25">
      <c r="A26" s="34" t="s">
        <v>124</v>
      </c>
      <c r="B26" s="379" t="s">
        <v>125</v>
      </c>
      <c r="C26" s="383">
        <f>SUM(C27:C29)</f>
        <v>50</v>
      </c>
      <c r="D26" s="383"/>
      <c r="E26" s="384">
        <f t="shared" si="3"/>
        <v>50000</v>
      </c>
      <c r="F26" s="386">
        <f aca="true" t="shared" si="9" ref="F26:K26">F27+F28+F29</f>
        <v>0</v>
      </c>
      <c r="G26" s="386">
        <f t="shared" si="9"/>
        <v>0</v>
      </c>
      <c r="H26" s="386">
        <f t="shared" si="9"/>
        <v>0</v>
      </c>
      <c r="I26" s="386">
        <f t="shared" si="9"/>
        <v>0</v>
      </c>
      <c r="J26" s="386">
        <f t="shared" si="9"/>
        <v>0</v>
      </c>
      <c r="K26" s="386">
        <f t="shared" si="9"/>
        <v>0</v>
      </c>
      <c r="L26" s="434"/>
      <c r="M26" s="387">
        <f t="shared" si="5"/>
        <v>50000</v>
      </c>
    </row>
    <row r="27" spans="1:13" ht="11.25">
      <c r="A27" s="34"/>
      <c r="B27" s="20" t="s">
        <v>126</v>
      </c>
      <c r="C27" s="21"/>
      <c r="D27" s="21"/>
      <c r="E27" s="62"/>
      <c r="F27" s="250"/>
      <c r="G27" s="250"/>
      <c r="H27" s="250"/>
      <c r="I27" s="250"/>
      <c r="J27" s="250"/>
      <c r="K27" s="250"/>
      <c r="L27" s="426"/>
      <c r="M27" s="246"/>
    </row>
    <row r="28" spans="1:13" ht="11.25">
      <c r="A28" s="34"/>
      <c r="B28" s="20" t="s">
        <v>127</v>
      </c>
      <c r="C28" s="21">
        <v>50</v>
      </c>
      <c r="D28" s="21"/>
      <c r="E28" s="62">
        <f>(C28+D28)*1000</f>
        <v>50000</v>
      </c>
      <c r="F28" s="250">
        <v>0</v>
      </c>
      <c r="G28" s="250"/>
      <c r="H28" s="250"/>
      <c r="I28" s="250"/>
      <c r="J28" s="250">
        <v>0</v>
      </c>
      <c r="K28" s="250"/>
      <c r="L28" s="426"/>
      <c r="M28" s="246">
        <f>E28+F28+J28+K28</f>
        <v>50000</v>
      </c>
    </row>
    <row r="29" spans="1:13" ht="12" thickBot="1">
      <c r="A29" s="40"/>
      <c r="B29" s="16" t="s">
        <v>128</v>
      </c>
      <c r="C29" s="17"/>
      <c r="D29" s="17"/>
      <c r="E29" s="257"/>
      <c r="F29" s="251"/>
      <c r="G29" s="251"/>
      <c r="H29" s="251"/>
      <c r="I29" s="251"/>
      <c r="J29" s="251"/>
      <c r="K29" s="251"/>
      <c r="L29" s="427"/>
      <c r="M29" s="245"/>
    </row>
    <row r="30" spans="1:13" ht="12" thickBot="1">
      <c r="A30" s="9" t="s">
        <v>11</v>
      </c>
      <c r="B30" s="10" t="s">
        <v>12</v>
      </c>
      <c r="C30" s="11">
        <f>SUM(C31,C32,C33,C34,C39,C40,C41,C42,C43,C44)</f>
        <v>1347</v>
      </c>
      <c r="D30" s="11">
        <f>SUM(D31:D44)</f>
        <v>0</v>
      </c>
      <c r="E30" s="55">
        <f>E33+E39</f>
        <v>1306000</v>
      </c>
      <c r="F30" s="252">
        <f aca="true" t="shared" si="10" ref="F30:K30">F31+F32+F33+F34+F39+F40+F41+F42+F43+F44</f>
        <v>179843</v>
      </c>
      <c r="G30" s="252">
        <f t="shared" si="10"/>
        <v>0</v>
      </c>
      <c r="H30" s="252">
        <f t="shared" si="10"/>
        <v>0</v>
      </c>
      <c r="I30" s="252">
        <f t="shared" si="10"/>
        <v>0</v>
      </c>
      <c r="J30" s="252">
        <f t="shared" si="10"/>
        <v>0</v>
      </c>
      <c r="K30" s="252">
        <f t="shared" si="10"/>
        <v>0</v>
      </c>
      <c r="L30" s="424">
        <f>Önkormányzat!I11+Start!I13+Községgazd!F13</f>
        <v>687561</v>
      </c>
      <c r="M30" s="247">
        <f>E30+F30+J30+K30+L30</f>
        <v>2173404</v>
      </c>
    </row>
    <row r="31" spans="1:13" ht="22.5">
      <c r="A31" s="38" t="s">
        <v>129</v>
      </c>
      <c r="B31" s="14" t="s">
        <v>130</v>
      </c>
      <c r="C31" s="15">
        <v>0</v>
      </c>
      <c r="D31" s="15"/>
      <c r="E31" s="241">
        <f>C31+D31</f>
        <v>0</v>
      </c>
      <c r="F31" s="249">
        <v>65400</v>
      </c>
      <c r="G31" s="249"/>
      <c r="H31" s="249"/>
      <c r="I31" s="249"/>
      <c r="J31" s="249"/>
      <c r="K31" s="249"/>
      <c r="L31" s="428">
        <v>687561</v>
      </c>
      <c r="M31" s="244">
        <f>E31+F31+J31+K31+L31</f>
        <v>752961</v>
      </c>
    </row>
    <row r="32" spans="1:13" ht="22.5">
      <c r="A32" s="34" t="s">
        <v>131</v>
      </c>
      <c r="B32" s="20" t="s">
        <v>132</v>
      </c>
      <c r="C32" s="21">
        <v>0</v>
      </c>
      <c r="D32" s="21"/>
      <c r="E32" s="62">
        <f>(C32+D32)*1000</f>
        <v>0</v>
      </c>
      <c r="F32" s="250">
        <v>200000</v>
      </c>
      <c r="G32" s="250"/>
      <c r="H32" s="250"/>
      <c r="I32" s="250"/>
      <c r="J32" s="250"/>
      <c r="K32" s="250"/>
      <c r="L32" s="426"/>
      <c r="M32" s="246">
        <f>E32+F32+J32+K32</f>
        <v>200000</v>
      </c>
    </row>
    <row r="33" spans="1:13" ht="22.5">
      <c r="A33" s="34" t="s">
        <v>133</v>
      </c>
      <c r="B33" s="20" t="s">
        <v>134</v>
      </c>
      <c r="C33" s="21">
        <f>200+550+556</f>
        <v>1306</v>
      </c>
      <c r="D33" s="21"/>
      <c r="E33" s="62">
        <f>(C33+D33)*1000</f>
        <v>1306000</v>
      </c>
      <c r="F33" s="250">
        <v>-128996</v>
      </c>
      <c r="G33" s="250"/>
      <c r="H33" s="250"/>
      <c r="I33" s="250"/>
      <c r="J33" s="250"/>
      <c r="K33" s="250"/>
      <c r="L33" s="426"/>
      <c r="M33" s="246">
        <f>E33+F33+J33+K33</f>
        <v>1177004</v>
      </c>
    </row>
    <row r="34" spans="1:13" ht="22.5">
      <c r="A34" s="34" t="s">
        <v>135</v>
      </c>
      <c r="B34" s="379" t="s">
        <v>136</v>
      </c>
      <c r="C34" s="383">
        <f>SUM(C35:C38)</f>
        <v>0</v>
      </c>
      <c r="D34" s="21"/>
      <c r="E34" s="384"/>
      <c r="F34" s="250"/>
      <c r="G34" s="250"/>
      <c r="H34" s="250"/>
      <c r="I34" s="250"/>
      <c r="J34" s="250"/>
      <c r="K34" s="250"/>
      <c r="L34" s="426"/>
      <c r="M34" s="246"/>
    </row>
    <row r="35" spans="1:13" ht="22.5">
      <c r="A35" s="34"/>
      <c r="B35" s="20" t="s">
        <v>392</v>
      </c>
      <c r="C35" s="21"/>
      <c r="D35" s="21"/>
      <c r="E35" s="62"/>
      <c r="F35" s="250"/>
      <c r="G35" s="250"/>
      <c r="H35" s="250"/>
      <c r="I35" s="250"/>
      <c r="J35" s="250"/>
      <c r="K35" s="250"/>
      <c r="L35" s="426"/>
      <c r="M35" s="246"/>
    </row>
    <row r="36" spans="1:13" ht="11.25" hidden="1">
      <c r="A36" s="34"/>
      <c r="B36" s="20" t="s">
        <v>137</v>
      </c>
      <c r="C36" s="21"/>
      <c r="D36" s="21">
        <v>0</v>
      </c>
      <c r="E36" s="62"/>
      <c r="F36" s="250"/>
      <c r="G36" s="250"/>
      <c r="H36" s="250"/>
      <c r="I36" s="250"/>
      <c r="J36" s="250"/>
      <c r="K36" s="250"/>
      <c r="L36" s="426"/>
      <c r="M36" s="246"/>
    </row>
    <row r="37" spans="1:13" ht="22.5">
      <c r="A37" s="34"/>
      <c r="B37" s="20" t="s">
        <v>138</v>
      </c>
      <c r="C37" s="21"/>
      <c r="D37" s="21"/>
      <c r="E37" s="62"/>
      <c r="F37" s="250"/>
      <c r="G37" s="250"/>
      <c r="H37" s="250"/>
      <c r="I37" s="250"/>
      <c r="J37" s="250"/>
      <c r="K37" s="250"/>
      <c r="L37" s="426"/>
      <c r="M37" s="246"/>
    </row>
    <row r="38" spans="1:13" ht="22.5">
      <c r="A38" s="34"/>
      <c r="B38" s="20" t="s">
        <v>139</v>
      </c>
      <c r="C38" s="21"/>
      <c r="D38" s="21"/>
      <c r="E38" s="388"/>
      <c r="F38" s="250"/>
      <c r="G38" s="250"/>
      <c r="H38" s="250"/>
      <c r="I38" s="250"/>
      <c r="J38" s="250"/>
      <c r="K38" s="250"/>
      <c r="L38" s="426"/>
      <c r="M38" s="246"/>
    </row>
    <row r="39" spans="1:13" ht="22.5">
      <c r="A39" s="34" t="s">
        <v>140</v>
      </c>
      <c r="B39" s="20" t="s">
        <v>141</v>
      </c>
      <c r="C39" s="21">
        <v>41</v>
      </c>
      <c r="D39" s="21"/>
      <c r="E39" s="62">
        <v>0</v>
      </c>
      <c r="F39" s="250">
        <v>0</v>
      </c>
      <c r="G39" s="250"/>
      <c r="H39" s="250"/>
      <c r="I39" s="250"/>
      <c r="J39" s="250"/>
      <c r="K39" s="250"/>
      <c r="L39" s="426"/>
      <c r="M39" s="246">
        <f>E39+F39+J39+K39</f>
        <v>0</v>
      </c>
    </row>
    <row r="40" spans="1:13" ht="22.5" hidden="1">
      <c r="A40" s="34" t="s">
        <v>142</v>
      </c>
      <c r="B40" s="20" t="s">
        <v>143</v>
      </c>
      <c r="C40" s="21"/>
      <c r="D40" s="21"/>
      <c r="E40" s="62">
        <f>C40+D40</f>
        <v>0</v>
      </c>
      <c r="F40" s="250"/>
      <c r="G40" s="250"/>
      <c r="H40" s="250"/>
      <c r="I40" s="250"/>
      <c r="J40" s="250"/>
      <c r="K40" s="250"/>
      <c r="L40" s="426"/>
      <c r="M40" s="246">
        <f>E40+F40+J40+K40</f>
        <v>0</v>
      </c>
    </row>
    <row r="41" spans="1:13" ht="22.5" hidden="1">
      <c r="A41" s="34" t="s">
        <v>144</v>
      </c>
      <c r="B41" s="20" t="s">
        <v>145</v>
      </c>
      <c r="C41" s="21" t="s">
        <v>96</v>
      </c>
      <c r="D41" s="21"/>
      <c r="E41" s="62">
        <v>0</v>
      </c>
      <c r="F41" s="250"/>
      <c r="G41" s="250"/>
      <c r="H41" s="250"/>
      <c r="I41" s="250"/>
      <c r="J41" s="250"/>
      <c r="K41" s="250"/>
      <c r="L41" s="426"/>
      <c r="M41" s="246">
        <f>E41+F41+J41+K41</f>
        <v>0</v>
      </c>
    </row>
    <row r="42" spans="1:13" ht="22.5">
      <c r="A42" s="34" t="s">
        <v>146</v>
      </c>
      <c r="B42" s="20" t="s">
        <v>147</v>
      </c>
      <c r="C42" s="21"/>
      <c r="D42" s="21"/>
      <c r="E42" s="62"/>
      <c r="F42" s="250"/>
      <c r="G42" s="250"/>
      <c r="H42" s="250"/>
      <c r="I42" s="250"/>
      <c r="J42" s="250"/>
      <c r="K42" s="250"/>
      <c r="L42" s="426"/>
      <c r="M42" s="246"/>
    </row>
    <row r="43" spans="1:13" ht="22.5">
      <c r="A43" s="34" t="s">
        <v>148</v>
      </c>
      <c r="B43" s="20" t="s">
        <v>365</v>
      </c>
      <c r="C43" s="21"/>
      <c r="D43" s="21"/>
      <c r="E43" s="62">
        <f>C43+D43</f>
        <v>0</v>
      </c>
      <c r="F43" s="250">
        <v>11520</v>
      </c>
      <c r="G43" s="250"/>
      <c r="H43" s="250"/>
      <c r="I43" s="250"/>
      <c r="J43" s="250"/>
      <c r="K43" s="250"/>
      <c r="L43" s="426"/>
      <c r="M43" s="246">
        <f>E43+F43+J43+K43</f>
        <v>11520</v>
      </c>
    </row>
    <row r="44" spans="1:13" ht="23.25" thickBot="1">
      <c r="A44" s="40" t="s">
        <v>364</v>
      </c>
      <c r="B44" s="16" t="s">
        <v>149</v>
      </c>
      <c r="C44" s="17"/>
      <c r="D44" s="17"/>
      <c r="E44" s="257">
        <f>C44+D44</f>
        <v>0</v>
      </c>
      <c r="F44" s="251">
        <v>31919</v>
      </c>
      <c r="G44" s="251"/>
      <c r="H44" s="251"/>
      <c r="I44" s="251"/>
      <c r="J44" s="251"/>
      <c r="K44" s="251"/>
      <c r="L44" s="427"/>
      <c r="M44" s="245">
        <f>E44+F44+J44+K44</f>
        <v>31919</v>
      </c>
    </row>
    <row r="45" spans="1:13" ht="12" thickBot="1">
      <c r="A45" s="9" t="s">
        <v>14</v>
      </c>
      <c r="B45" s="10" t="s">
        <v>15</v>
      </c>
      <c r="C45" s="11">
        <f>SUM(C46:C49)</f>
        <v>0</v>
      </c>
      <c r="D45" s="11">
        <f>SUM(D46:D49)</f>
        <v>0</v>
      </c>
      <c r="E45" s="55">
        <v>0</v>
      </c>
      <c r="F45" s="252">
        <v>0</v>
      </c>
      <c r="G45" s="252"/>
      <c r="H45" s="252"/>
      <c r="I45" s="252"/>
      <c r="J45" s="252">
        <v>1325510</v>
      </c>
      <c r="K45" s="252"/>
      <c r="L45" s="424">
        <f>Községgazd!F14+Önkormányzat!I14</f>
        <v>800000</v>
      </c>
      <c r="M45" s="247">
        <f>SUM(E45:L45)</f>
        <v>2125510</v>
      </c>
    </row>
    <row r="46" spans="1:13" ht="11.25" hidden="1">
      <c r="A46" s="38"/>
      <c r="B46" s="14" t="s">
        <v>150</v>
      </c>
      <c r="C46" s="15"/>
      <c r="D46" s="15"/>
      <c r="E46" s="389"/>
      <c r="F46" s="249"/>
      <c r="G46" s="249"/>
      <c r="H46" s="249"/>
      <c r="I46" s="249"/>
      <c r="J46" s="249"/>
      <c r="K46" s="249"/>
      <c r="L46" s="428"/>
      <c r="M46" s="244"/>
    </row>
    <row r="47" spans="1:13" ht="11.25">
      <c r="A47" s="34"/>
      <c r="B47" s="20" t="s">
        <v>151</v>
      </c>
      <c r="C47" s="21"/>
      <c r="D47" s="21"/>
      <c r="E47" s="62">
        <v>0</v>
      </c>
      <c r="F47" s="250">
        <v>0</v>
      </c>
      <c r="G47" s="250"/>
      <c r="H47" s="250"/>
      <c r="I47" s="250"/>
      <c r="J47" s="250">
        <v>1325510</v>
      </c>
      <c r="K47" s="250"/>
      <c r="L47" s="426"/>
      <c r="M47" s="246">
        <v>1325510</v>
      </c>
    </row>
    <row r="48" spans="1:13" ht="12" thickBot="1">
      <c r="A48" s="34"/>
      <c r="B48" s="20" t="s">
        <v>152</v>
      </c>
      <c r="C48" s="21"/>
      <c r="D48" s="21"/>
      <c r="E48" s="388"/>
      <c r="F48" s="250"/>
      <c r="G48" s="250"/>
      <c r="H48" s="250"/>
      <c r="I48" s="250"/>
      <c r="J48" s="250"/>
      <c r="K48" s="250"/>
      <c r="L48" s="426">
        <v>800000</v>
      </c>
      <c r="M48" s="246">
        <v>800000</v>
      </c>
    </row>
    <row r="49" spans="1:13" ht="12" hidden="1" thickBot="1">
      <c r="A49" s="40"/>
      <c r="B49" s="16" t="s">
        <v>153</v>
      </c>
      <c r="C49" s="17"/>
      <c r="D49" s="17"/>
      <c r="E49" s="390"/>
      <c r="F49" s="251"/>
      <c r="G49" s="251"/>
      <c r="H49" s="251"/>
      <c r="I49" s="251"/>
      <c r="J49" s="251"/>
      <c r="K49" s="251"/>
      <c r="L49" s="427"/>
      <c r="M49" s="245"/>
    </row>
    <row r="50" spans="1:13" ht="12" thickBot="1">
      <c r="A50" s="9" t="s">
        <v>16</v>
      </c>
      <c r="B50" s="10" t="s">
        <v>17</v>
      </c>
      <c r="C50" s="11">
        <f>SUM(C51:C52)</f>
        <v>0</v>
      </c>
      <c r="D50" s="11">
        <f>SUM(D51:D52)</f>
        <v>0</v>
      </c>
      <c r="E50" s="55"/>
      <c r="F50" s="252"/>
      <c r="G50" s="252"/>
      <c r="H50" s="252"/>
      <c r="I50" s="252"/>
      <c r="J50" s="252"/>
      <c r="K50" s="252"/>
      <c r="L50" s="424"/>
      <c r="M50" s="247"/>
    </row>
    <row r="51" spans="1:13" ht="22.5">
      <c r="A51" s="38"/>
      <c r="B51" s="14" t="s">
        <v>154</v>
      </c>
      <c r="C51" s="15">
        <v>0</v>
      </c>
      <c r="D51" s="15"/>
      <c r="E51" s="241"/>
      <c r="F51" s="249"/>
      <c r="G51" s="249"/>
      <c r="H51" s="249"/>
      <c r="I51" s="249"/>
      <c r="J51" s="249"/>
      <c r="K51" s="249"/>
      <c r="L51" s="428"/>
      <c r="M51" s="244"/>
    </row>
    <row r="52" spans="1:13" ht="12" thickBot="1">
      <c r="A52" s="391"/>
      <c r="B52" s="290" t="s">
        <v>155</v>
      </c>
      <c r="C52" s="297"/>
      <c r="D52" s="297"/>
      <c r="E52" s="392"/>
      <c r="F52" s="251"/>
      <c r="G52" s="251"/>
      <c r="H52" s="251"/>
      <c r="I52" s="251"/>
      <c r="J52" s="251"/>
      <c r="K52" s="251"/>
      <c r="L52" s="427"/>
      <c r="M52" s="245"/>
    </row>
    <row r="53" spans="1:13" ht="23.25" thickBot="1">
      <c r="A53" s="9" t="s">
        <v>18</v>
      </c>
      <c r="B53" s="10" t="s">
        <v>19</v>
      </c>
      <c r="C53" s="11">
        <f>C54</f>
        <v>0</v>
      </c>
      <c r="D53" s="11">
        <f>D54</f>
        <v>0</v>
      </c>
      <c r="E53" s="55"/>
      <c r="F53" s="252"/>
      <c r="G53" s="252"/>
      <c r="H53" s="252"/>
      <c r="I53" s="252"/>
      <c r="J53" s="252"/>
      <c r="K53" s="252"/>
      <c r="L53" s="424"/>
      <c r="M53" s="247"/>
    </row>
    <row r="54" spans="1:13" ht="23.25" thickBot="1">
      <c r="A54" s="393"/>
      <c r="B54" s="394" t="s">
        <v>156</v>
      </c>
      <c r="C54" s="33"/>
      <c r="D54" s="33"/>
      <c r="E54" s="243"/>
      <c r="F54" s="252"/>
      <c r="G54" s="252"/>
      <c r="H54" s="252"/>
      <c r="I54" s="252"/>
      <c r="J54" s="252"/>
      <c r="K54" s="252"/>
      <c r="L54" s="424"/>
      <c r="M54" s="247"/>
    </row>
    <row r="55" spans="1:13" ht="23.25" thickBot="1">
      <c r="A55" s="9" t="s">
        <v>20</v>
      </c>
      <c r="B55" s="12" t="s">
        <v>21</v>
      </c>
      <c r="C55" s="13">
        <f>C7+C18+C19+C30+C45+C50+C53</f>
        <v>70469</v>
      </c>
      <c r="D55" s="13">
        <f>D7+D18+D19+D30+D45+D50+D53</f>
        <v>0</v>
      </c>
      <c r="E55" s="56">
        <f>E7+E18+E19+E30+E45+E50+E53</f>
        <v>30471000</v>
      </c>
      <c r="F55" s="252">
        <f aca="true" t="shared" si="11" ref="F55:K55">F53+F50+F45+F30+F19+F18+F7</f>
        <v>39194782</v>
      </c>
      <c r="G55" s="252">
        <f>G53+G50+G45+G30+G19+G18+G7</f>
        <v>0</v>
      </c>
      <c r="H55" s="252">
        <f t="shared" si="11"/>
        <v>0</v>
      </c>
      <c r="I55" s="252">
        <f t="shared" si="11"/>
        <v>0</v>
      </c>
      <c r="J55" s="252">
        <f t="shared" si="11"/>
        <v>18231348</v>
      </c>
      <c r="K55" s="252">
        <f t="shared" si="11"/>
        <v>1300000</v>
      </c>
      <c r="L55" s="252">
        <f>L53+L50+L45+L30+L19+L18+L7</f>
        <v>8781679</v>
      </c>
      <c r="M55" s="247">
        <f>E55+F55+J55+K55+L55</f>
        <v>97978809</v>
      </c>
    </row>
    <row r="56" spans="1:13" ht="12" thickBot="1">
      <c r="A56" s="9" t="s">
        <v>23</v>
      </c>
      <c r="B56" s="10" t="s">
        <v>22</v>
      </c>
      <c r="C56" s="11">
        <f>SUM(C57,C61,C64,C65)</f>
        <v>9971000</v>
      </c>
      <c r="D56" s="11">
        <f>SUM(D57,D61,D64,D65)</f>
        <v>0</v>
      </c>
      <c r="E56" s="55">
        <f>E61</f>
        <v>9966000</v>
      </c>
      <c r="F56" s="252">
        <f>F57+F61+F64+F65</f>
        <v>248195</v>
      </c>
      <c r="G56" s="252">
        <f>G57+G61+G64</f>
        <v>0</v>
      </c>
      <c r="H56" s="252">
        <f>H57+H61+H64</f>
        <v>-11812000</v>
      </c>
      <c r="I56" s="252">
        <f>I57+I61+I64</f>
        <v>0</v>
      </c>
      <c r="J56" s="252">
        <f>J57+J61+J64+J65</f>
        <v>0</v>
      </c>
      <c r="K56" s="252">
        <f>K57+K61+K64</f>
        <v>0</v>
      </c>
      <c r="L56" s="252">
        <f>L57+L61+L64+L63</f>
        <v>983000</v>
      </c>
      <c r="M56" s="247">
        <f>E56+F56+J56+K56+L56</f>
        <v>11197195</v>
      </c>
    </row>
    <row r="57" spans="1:13" ht="11.25">
      <c r="A57" s="38" t="s">
        <v>157</v>
      </c>
      <c r="B57" s="14" t="s">
        <v>158</v>
      </c>
      <c r="C57" s="15"/>
      <c r="D57" s="15"/>
      <c r="E57" s="241"/>
      <c r="F57" s="249"/>
      <c r="G57" s="249"/>
      <c r="H57" s="249"/>
      <c r="I57" s="249"/>
      <c r="J57" s="249"/>
      <c r="K57" s="249"/>
      <c r="L57" s="428"/>
      <c r="M57" s="244"/>
    </row>
    <row r="58" spans="1:13" ht="11.25">
      <c r="A58" s="34"/>
      <c r="B58" s="20" t="s">
        <v>159</v>
      </c>
      <c r="C58" s="21"/>
      <c r="D58" s="21"/>
      <c r="E58" s="62"/>
      <c r="F58" s="250"/>
      <c r="G58" s="250"/>
      <c r="H58" s="250"/>
      <c r="I58" s="250"/>
      <c r="J58" s="250"/>
      <c r="K58" s="250"/>
      <c r="L58" s="426"/>
      <c r="M58" s="246"/>
    </row>
    <row r="59" spans="1:13" ht="11.25">
      <c r="A59" s="34"/>
      <c r="B59" s="20" t="s">
        <v>160</v>
      </c>
      <c r="C59" s="21"/>
      <c r="D59" s="21"/>
      <c r="E59" s="62"/>
      <c r="F59" s="250"/>
      <c r="G59" s="250"/>
      <c r="H59" s="250"/>
      <c r="I59" s="250"/>
      <c r="J59" s="250"/>
      <c r="K59" s="250"/>
      <c r="L59" s="426"/>
      <c r="M59" s="246"/>
    </row>
    <row r="60" spans="1:13" ht="11.25">
      <c r="A60" s="34"/>
      <c r="B60" s="20" t="s">
        <v>161</v>
      </c>
      <c r="C60" s="21"/>
      <c r="D60" s="21"/>
      <c r="E60" s="388">
        <f>C60+D60</f>
        <v>0</v>
      </c>
      <c r="F60" s="250"/>
      <c r="G60" s="250"/>
      <c r="H60" s="250"/>
      <c r="I60" s="250"/>
      <c r="J60" s="250"/>
      <c r="K60" s="250"/>
      <c r="L60" s="426"/>
      <c r="M60" s="246">
        <f>E60+F60+J60+K60</f>
        <v>0</v>
      </c>
    </row>
    <row r="61" spans="1:13" ht="22.5">
      <c r="A61" s="34" t="s">
        <v>162</v>
      </c>
      <c r="B61" s="379" t="s">
        <v>163</v>
      </c>
      <c r="C61" s="383">
        <f>C62+C63</f>
        <v>9971000</v>
      </c>
      <c r="D61" s="383"/>
      <c r="E61" s="384">
        <f>E62</f>
        <v>9966000</v>
      </c>
      <c r="F61" s="386">
        <f aca="true" t="shared" si="12" ref="F61:K61">F62+F63</f>
        <v>248195</v>
      </c>
      <c r="G61" s="386">
        <f t="shared" si="12"/>
        <v>0</v>
      </c>
      <c r="H61" s="386">
        <f t="shared" si="12"/>
        <v>0</v>
      </c>
      <c r="I61" s="386">
        <f t="shared" si="12"/>
        <v>0</v>
      </c>
      <c r="J61" s="386">
        <f t="shared" si="12"/>
        <v>0</v>
      </c>
      <c r="K61" s="386">
        <f t="shared" si="12"/>
        <v>0</v>
      </c>
      <c r="L61" s="434"/>
      <c r="M61" s="387">
        <f>E61+F61+J61+K61</f>
        <v>10214195</v>
      </c>
    </row>
    <row r="62" spans="1:13" ht="11.25">
      <c r="A62" s="34"/>
      <c r="B62" s="20" t="s">
        <v>164</v>
      </c>
      <c r="C62" s="21">
        <f>Önkormányzat!E19+Start!E19+Községgazd!G19+Könyvtár!H19+Ovi!E19+Közvilágítás!H19</f>
        <v>9971000</v>
      </c>
      <c r="D62" s="21"/>
      <c r="E62" s="62">
        <v>9966000</v>
      </c>
      <c r="F62" s="250">
        <v>248195</v>
      </c>
      <c r="G62" s="250"/>
      <c r="H62" s="250"/>
      <c r="I62" s="250"/>
      <c r="J62" s="250"/>
      <c r="K62" s="250"/>
      <c r="L62" s="426"/>
      <c r="M62" s="246">
        <f>E62+F62+J62+K62</f>
        <v>10214195</v>
      </c>
    </row>
    <row r="63" spans="1:13" ht="22.5">
      <c r="A63" s="34" t="s">
        <v>396</v>
      </c>
      <c r="B63" s="20" t="s">
        <v>397</v>
      </c>
      <c r="C63" s="21"/>
      <c r="D63" s="21"/>
      <c r="E63" s="62"/>
      <c r="F63" s="250"/>
      <c r="G63" s="250"/>
      <c r="H63" s="250"/>
      <c r="I63" s="250"/>
      <c r="J63" s="250"/>
      <c r="K63" s="250"/>
      <c r="L63" s="426">
        <f>Önkormányzat!I20</f>
        <v>983000</v>
      </c>
      <c r="M63" s="246">
        <f>E63+F63+J63+K63+L63</f>
        <v>983000</v>
      </c>
    </row>
    <row r="64" spans="1:13" ht="22.5">
      <c r="A64" s="34" t="s">
        <v>166</v>
      </c>
      <c r="B64" s="20" t="s">
        <v>167</v>
      </c>
      <c r="C64" s="21">
        <v>11812</v>
      </c>
      <c r="D64" s="21"/>
      <c r="E64" s="62"/>
      <c r="F64" s="250"/>
      <c r="G64" s="250"/>
      <c r="H64" s="250">
        <f>E64-(Önkormányzat!E21+Start!E20+Községgazd!G20+Könyvtár!H20+Ovi!E20+Közvilágítás!H20+Közút!E19)</f>
        <v>-11812000</v>
      </c>
      <c r="I64" s="250"/>
      <c r="J64" s="250"/>
      <c r="K64" s="250"/>
      <c r="L64" s="426"/>
      <c r="M64" s="246">
        <f>E64+F64+J64+K64</f>
        <v>0</v>
      </c>
    </row>
    <row r="65" spans="1:13" ht="23.25" thickBot="1">
      <c r="A65" s="40" t="s">
        <v>96</v>
      </c>
      <c r="B65" s="16" t="s">
        <v>168</v>
      </c>
      <c r="C65" s="17">
        <v>-11812</v>
      </c>
      <c r="D65" s="17"/>
      <c r="E65" s="62"/>
      <c r="F65" s="251"/>
      <c r="G65" s="251"/>
      <c r="H65" s="251"/>
      <c r="I65" s="251"/>
      <c r="J65" s="251"/>
      <c r="K65" s="251"/>
      <c r="L65" s="427"/>
      <c r="M65" s="245">
        <f>E65+F65+J65+K65</f>
        <v>0</v>
      </c>
    </row>
    <row r="66" spans="1:13" ht="23.25" thickBot="1">
      <c r="A66" s="9" t="s">
        <v>24</v>
      </c>
      <c r="B66" s="10" t="s">
        <v>25</v>
      </c>
      <c r="C66" s="11">
        <f aca="true" t="shared" si="13" ref="C66:L66">C55+C56</f>
        <v>10041469</v>
      </c>
      <c r="D66" s="11">
        <f t="shared" si="13"/>
        <v>0</v>
      </c>
      <c r="E66" s="55">
        <f>E55+E56</f>
        <v>40437000</v>
      </c>
      <c r="F66" s="252">
        <f t="shared" si="13"/>
        <v>39442977</v>
      </c>
      <c r="G66" s="252">
        <f t="shared" si="13"/>
        <v>0</v>
      </c>
      <c r="H66" s="252">
        <f t="shared" si="13"/>
        <v>-11812000</v>
      </c>
      <c r="I66" s="252">
        <f t="shared" si="13"/>
        <v>0</v>
      </c>
      <c r="J66" s="252">
        <f t="shared" si="13"/>
        <v>18231348</v>
      </c>
      <c r="K66" s="252">
        <f t="shared" si="13"/>
        <v>1300000</v>
      </c>
      <c r="L66" s="252">
        <f t="shared" si="13"/>
        <v>9764679</v>
      </c>
      <c r="M66" s="247">
        <f>E66+F66+J66+K66+L66</f>
        <v>109176004</v>
      </c>
    </row>
    <row r="67" ht="11.25">
      <c r="M67" s="266"/>
    </row>
    <row r="68" spans="1:13" ht="26.25" customHeight="1">
      <c r="A68" s="68">
        <v>1</v>
      </c>
      <c r="B68" s="265" t="str">
        <f>B1</f>
        <v>. melléklet</v>
      </c>
      <c r="M68" s="266"/>
    </row>
    <row r="69" spans="1:13" ht="11.25" hidden="1">
      <c r="A69" s="277"/>
      <c r="B69" s="277"/>
      <c r="M69" s="266"/>
    </row>
    <row r="70" spans="1:13" ht="11.25" hidden="1">
      <c r="A70" s="7"/>
      <c r="B70" s="7"/>
      <c r="C70" s="7"/>
      <c r="D70" s="7"/>
      <c r="E70" s="7"/>
      <c r="M70" s="266"/>
    </row>
    <row r="71" spans="1:13" ht="12.75" customHeight="1">
      <c r="A71" s="905" t="s">
        <v>384</v>
      </c>
      <c r="B71" s="905"/>
      <c r="C71" s="905"/>
      <c r="D71" s="905"/>
      <c r="E71" s="905"/>
      <c r="F71" s="905"/>
      <c r="G71" s="905"/>
      <c r="H71" s="905"/>
      <c r="I71" s="905"/>
      <c r="J71" s="905"/>
      <c r="K71" s="905"/>
      <c r="L71" s="905"/>
      <c r="M71" s="905"/>
    </row>
    <row r="72" spans="1:13" ht="11.25">
      <c r="A72" s="905" t="str">
        <f>A4</f>
        <v>2016. év</v>
      </c>
      <c r="B72" s="905"/>
      <c r="C72" s="905"/>
      <c r="D72" s="905"/>
      <c r="E72" s="905"/>
      <c r="F72" s="905"/>
      <c r="G72" s="905"/>
      <c r="H72" s="905"/>
      <c r="I72" s="905"/>
      <c r="J72" s="905"/>
      <c r="K72" s="905"/>
      <c r="L72" s="905"/>
      <c r="M72" s="905"/>
    </row>
    <row r="73" spans="1:13" ht="11.25">
      <c r="A73" s="373"/>
      <c r="B73" s="373"/>
      <c r="C73" s="373"/>
      <c r="D73" s="373"/>
      <c r="E73" s="373"/>
      <c r="M73" s="266"/>
    </row>
    <row r="74" spans="1:13" ht="12" thickBot="1">
      <c r="A74" s="7"/>
      <c r="B74" s="7"/>
      <c r="C74" s="7"/>
      <c r="D74" s="7"/>
      <c r="E74" s="8"/>
      <c r="M74" s="69" t="s">
        <v>363</v>
      </c>
    </row>
    <row r="75" spans="1:13" ht="45.75" thickBot="1">
      <c r="A75" s="30" t="s">
        <v>0</v>
      </c>
      <c r="B75" s="31" t="s">
        <v>104</v>
      </c>
      <c r="C75" s="31" t="s">
        <v>2</v>
      </c>
      <c r="D75" s="31" t="s">
        <v>3</v>
      </c>
      <c r="E75" s="35" t="s">
        <v>322</v>
      </c>
      <c r="F75" s="238" t="s">
        <v>356</v>
      </c>
      <c r="G75" s="238"/>
      <c r="H75" s="238" t="s">
        <v>194</v>
      </c>
      <c r="I75" s="238"/>
      <c r="J75" s="238" t="s">
        <v>357</v>
      </c>
      <c r="K75" s="238" t="s">
        <v>358</v>
      </c>
      <c r="L75" s="263" t="s">
        <v>393</v>
      </c>
      <c r="M75" s="374" t="s">
        <v>359</v>
      </c>
    </row>
    <row r="76" spans="1:13" ht="12" thickBot="1">
      <c r="A76" s="9" t="s">
        <v>26</v>
      </c>
      <c r="B76" s="10" t="s">
        <v>27</v>
      </c>
      <c r="C76" s="11">
        <f>Önkormányzat!C24+Start!C24+Községgazd!C24+Könyvtár!C24+Ovi!C24+Közvilágítás!C24</f>
        <v>18375</v>
      </c>
      <c r="D76" s="11">
        <v>0</v>
      </c>
      <c r="E76" s="55">
        <f>Önkormányzat!E24+Start!E24+Községgazd!C24+Könyvtár!C24+Közút!C23</f>
        <v>10478000</v>
      </c>
      <c r="F76" s="252">
        <f>Önkormányzat!F24+Start!F24+Könyvtár!D24</f>
        <v>25055249</v>
      </c>
      <c r="G76" s="252"/>
      <c r="H76" s="252">
        <f>E76-(Önkormányzat!E24+Start!E24+Községgazd!G24+Könyvtár!H24+Ovi!E24+Közvilágítás!H24)</f>
        <v>-7900500</v>
      </c>
      <c r="I76" s="252"/>
      <c r="J76" s="252">
        <f>J77+J85</f>
        <v>366826</v>
      </c>
      <c r="K76" s="252">
        <f>K77+K85</f>
        <v>220000</v>
      </c>
      <c r="L76" s="252">
        <f>L77+L85</f>
        <v>329677</v>
      </c>
      <c r="M76" s="247">
        <f>E76+F76+J76+K76+L76</f>
        <v>36449752</v>
      </c>
    </row>
    <row r="77" spans="1:13" ht="11.25">
      <c r="A77" s="38" t="s">
        <v>49</v>
      </c>
      <c r="B77" s="14" t="s">
        <v>50</v>
      </c>
      <c r="C77" s="15">
        <f>SUM(C78:C84)</f>
        <v>0</v>
      </c>
      <c r="D77" s="15">
        <f>SUM(D78:D84)</f>
        <v>0</v>
      </c>
      <c r="E77" s="241">
        <f>SUM(E78:E83)</f>
        <v>6682000</v>
      </c>
      <c r="F77" s="241">
        <f>SUM(F78:F84)</f>
        <v>25055249</v>
      </c>
      <c r="G77" s="241">
        <f>SUM(G78:G83)</f>
        <v>0</v>
      </c>
      <c r="H77" s="241">
        <f>SUM(H78:H83)</f>
        <v>0</v>
      </c>
      <c r="I77" s="241">
        <f>SUM(I78:I83)</f>
        <v>0</v>
      </c>
      <c r="J77" s="241">
        <f>SUM(J78:J83)</f>
        <v>363326</v>
      </c>
      <c r="K77" s="241">
        <f>SUM(K78:K84)</f>
        <v>120000</v>
      </c>
      <c r="L77" s="241">
        <f>SUM(L78:L84)</f>
        <v>10000</v>
      </c>
      <c r="M77" s="292">
        <f>J77+F77+E77+K77+L77</f>
        <v>32230575</v>
      </c>
    </row>
    <row r="78" spans="1:13" ht="22.5">
      <c r="A78" s="34"/>
      <c r="B78" s="20" t="s">
        <v>51</v>
      </c>
      <c r="C78" s="15"/>
      <c r="D78" s="15">
        <v>0</v>
      </c>
      <c r="E78" s="241">
        <f>Start!E26</f>
        <v>6673000</v>
      </c>
      <c r="F78" s="250">
        <f>Start!F26</f>
        <v>24991429</v>
      </c>
      <c r="G78" s="250"/>
      <c r="H78" s="250"/>
      <c r="I78" s="268">
        <f>G78</f>
        <v>0</v>
      </c>
      <c r="J78" s="250">
        <f>Önkormányzat!G26+Start!G26+Könyvtár!E26</f>
        <v>363326</v>
      </c>
      <c r="K78" s="250">
        <f>Önkormányzat!H26+Start!H26+Könyvtár!H26</f>
        <v>0</v>
      </c>
      <c r="L78" s="250">
        <f>Önkormányzat!I26+Start!I26+Könyvtár!I26</f>
        <v>0</v>
      </c>
      <c r="M78" s="246">
        <f>J78+F78+E78+K78+L78</f>
        <v>32027755</v>
      </c>
    </row>
    <row r="79" spans="1:13" ht="22.5">
      <c r="A79" s="34"/>
      <c r="B79" s="20" t="s">
        <v>52</v>
      </c>
      <c r="C79" s="15">
        <v>0</v>
      </c>
      <c r="D79" s="15">
        <v>0</v>
      </c>
      <c r="E79" s="241"/>
      <c r="F79" s="250"/>
      <c r="G79" s="250"/>
      <c r="H79" s="250"/>
      <c r="I79" s="268"/>
      <c r="J79" s="250">
        <f>Önkormányzat!G27+Start!G27+Könyvtár!E27</f>
        <v>0</v>
      </c>
      <c r="K79" s="250">
        <f>Önkormányzat!H27+Start!H27+Könyvtár!H27</f>
        <v>0</v>
      </c>
      <c r="L79" s="250">
        <f>Önkormányzat!I27+Start!I27+Könyvtár!I27</f>
        <v>0</v>
      </c>
      <c r="M79" s="246">
        <f aca="true" t="shared" si="14" ref="M79:M88">J79+F79+E79+K79+L79</f>
        <v>0</v>
      </c>
    </row>
    <row r="80" spans="1:13" ht="11.25">
      <c r="A80" s="34"/>
      <c r="B80" s="20" t="s">
        <v>53</v>
      </c>
      <c r="C80" s="15"/>
      <c r="D80" s="15">
        <v>0</v>
      </c>
      <c r="E80" s="241"/>
      <c r="F80" s="250"/>
      <c r="G80" s="250"/>
      <c r="H80" s="250"/>
      <c r="I80" s="268"/>
      <c r="J80" s="250">
        <f>Önkormányzat!G28+Start!G28+Könyvtár!E28</f>
        <v>0</v>
      </c>
      <c r="K80" s="250">
        <f>Önkormányzat!H28+Start!H28+Könyvtár!H28</f>
        <v>0</v>
      </c>
      <c r="L80" s="250">
        <f>Önkormányzat!I28+Start!I28+Könyvtár!I28</f>
        <v>0</v>
      </c>
      <c r="M80" s="246">
        <f t="shared" si="14"/>
        <v>0</v>
      </c>
    </row>
    <row r="81" spans="1:13" ht="11.25">
      <c r="A81" s="34"/>
      <c r="B81" s="20" t="s">
        <v>54</v>
      </c>
      <c r="C81" s="15"/>
      <c r="D81" s="15">
        <v>0</v>
      </c>
      <c r="E81" s="241"/>
      <c r="F81" s="250"/>
      <c r="G81" s="250"/>
      <c r="H81" s="250"/>
      <c r="I81" s="268"/>
      <c r="J81" s="250">
        <f>Önkormányzat!G29+Start!G29+Könyvtár!E29</f>
        <v>0</v>
      </c>
      <c r="K81" s="250">
        <f>Önkormányzat!H29+Start!H29+Könyvtár!H29</f>
        <v>0</v>
      </c>
      <c r="L81" s="250">
        <f>Önkormányzat!I29+Start!I29+Könyvtár!I29</f>
        <v>0</v>
      </c>
      <c r="M81" s="246">
        <f t="shared" si="14"/>
        <v>0</v>
      </c>
    </row>
    <row r="82" spans="1:13" ht="11.25">
      <c r="A82" s="34"/>
      <c r="B82" s="20" t="s">
        <v>55</v>
      </c>
      <c r="C82" s="15"/>
      <c r="D82" s="15">
        <v>0</v>
      </c>
      <c r="E82" s="241">
        <v>9000</v>
      </c>
      <c r="F82" s="250">
        <f>Start!F30</f>
        <v>30000</v>
      </c>
      <c r="G82" s="250"/>
      <c r="H82" s="250"/>
      <c r="I82" s="268"/>
      <c r="J82" s="250">
        <f>Önkormányzat!G30+Start!G30+Könyvtár!E30</f>
        <v>0</v>
      </c>
      <c r="K82" s="250">
        <f>Önkormányzat!H30+Start!H30+Könyvtár!H30</f>
        <v>0</v>
      </c>
      <c r="L82" s="250">
        <f>Önkormányzat!I30+Start!I30+Könyvtár!I30</f>
        <v>0</v>
      </c>
      <c r="M82" s="246">
        <f t="shared" si="14"/>
        <v>39000</v>
      </c>
    </row>
    <row r="83" spans="1:13" ht="11.25">
      <c r="A83" s="34"/>
      <c r="B83" s="20" t="s">
        <v>56</v>
      </c>
      <c r="C83" s="15">
        <v>0</v>
      </c>
      <c r="D83" s="15">
        <v>0</v>
      </c>
      <c r="E83" s="241"/>
      <c r="F83" s="250"/>
      <c r="G83" s="250"/>
      <c r="H83" s="250"/>
      <c r="I83" s="268"/>
      <c r="J83" s="250">
        <f>Önkormányzat!G31+Start!G31+Könyvtár!E31</f>
        <v>0</v>
      </c>
      <c r="K83" s="250">
        <f>Önkormányzat!H31+Start!H31+Könyvtár!H31</f>
        <v>0</v>
      </c>
      <c r="L83" s="250">
        <f>Önkormányzat!I31+Start!I31+Könyvtár!I31</f>
        <v>0</v>
      </c>
      <c r="M83" s="246">
        <f t="shared" si="14"/>
        <v>0</v>
      </c>
    </row>
    <row r="84" spans="1:13" ht="22.5">
      <c r="A84" s="34"/>
      <c r="B84" s="20" t="s">
        <v>57</v>
      </c>
      <c r="C84" s="15"/>
      <c r="D84" s="15">
        <v>0</v>
      </c>
      <c r="E84" s="241"/>
      <c r="F84" s="250">
        <f>Start!F32</f>
        <v>33820</v>
      </c>
      <c r="G84" s="250"/>
      <c r="H84" s="250"/>
      <c r="I84" s="268"/>
      <c r="J84" s="250">
        <f>Önkormányzat!G32+Start!G32+Könyvtár!E32</f>
        <v>0</v>
      </c>
      <c r="K84" s="250">
        <f>Önkormányzat!H32+Start!H32+Könyvtár!H32</f>
        <v>120000</v>
      </c>
      <c r="L84" s="250">
        <f>Önkormányzat!I32+Start!I32+Könyvtár!I32</f>
        <v>10000</v>
      </c>
      <c r="M84" s="246">
        <f t="shared" si="14"/>
        <v>163820</v>
      </c>
    </row>
    <row r="85" spans="1:13" ht="11.25">
      <c r="A85" s="34" t="s">
        <v>58</v>
      </c>
      <c r="B85" s="20" t="s">
        <v>59</v>
      </c>
      <c r="C85" s="15">
        <f>SUM(C86:C88)</f>
        <v>3796</v>
      </c>
      <c r="D85" s="15">
        <f>SUM(D86:D88)</f>
        <v>0</v>
      </c>
      <c r="E85" s="241">
        <f>SUM(E86:E88)</f>
        <v>3796000</v>
      </c>
      <c r="F85" s="250">
        <f>F86+F87+F88</f>
        <v>0</v>
      </c>
      <c r="G85" s="250">
        <f>G86+G87+G88</f>
        <v>0</v>
      </c>
      <c r="H85" s="250">
        <f>H86+H87+H88</f>
        <v>0</v>
      </c>
      <c r="I85" s="268">
        <f>E85+F85+G85+H85</f>
        <v>3796000</v>
      </c>
      <c r="J85" s="250">
        <f>J86</f>
        <v>3500</v>
      </c>
      <c r="K85" s="250">
        <f>K86+K88</f>
        <v>100000</v>
      </c>
      <c r="L85" s="250">
        <f>L86+L88</f>
        <v>319677</v>
      </c>
      <c r="M85" s="246">
        <f t="shared" si="14"/>
        <v>4219177</v>
      </c>
    </row>
    <row r="86" spans="1:13" ht="11.25">
      <c r="A86" s="34"/>
      <c r="B86" s="20" t="s">
        <v>60</v>
      </c>
      <c r="C86" s="15">
        <f>1795+1080+149+449+269+54</f>
        <v>3796</v>
      </c>
      <c r="D86" s="15">
        <v>0</v>
      </c>
      <c r="E86" s="241">
        <f>(D86+C86)*1000</f>
        <v>3796000</v>
      </c>
      <c r="F86" s="250">
        <v>-3500</v>
      </c>
      <c r="G86" s="250">
        <v>0</v>
      </c>
      <c r="H86" s="250"/>
      <c r="I86" s="268">
        <f>E86+F86+G86+H86</f>
        <v>3792500</v>
      </c>
      <c r="J86" s="250">
        <f>Önkormányzat!G34</f>
        <v>3500</v>
      </c>
      <c r="K86" s="250">
        <f>Önkormányzat!H34</f>
        <v>0</v>
      </c>
      <c r="L86" s="250">
        <f>Önkormányzat!I34</f>
        <v>170000</v>
      </c>
      <c r="M86" s="246">
        <f t="shared" si="14"/>
        <v>3966000</v>
      </c>
    </row>
    <row r="87" spans="1:13" ht="33.75">
      <c r="A87" s="34"/>
      <c r="B87" s="20" t="s">
        <v>85</v>
      </c>
      <c r="C87" s="15"/>
      <c r="D87" s="15">
        <v>0</v>
      </c>
      <c r="E87" s="241"/>
      <c r="F87" s="250"/>
      <c r="G87" s="250"/>
      <c r="H87" s="250"/>
      <c r="I87" s="268"/>
      <c r="J87" s="250">
        <f>Önkormányzat!G35</f>
        <v>0</v>
      </c>
      <c r="K87" s="250">
        <f>Önkormányzat!H35</f>
        <v>0</v>
      </c>
      <c r="L87" s="250">
        <f>Önkormányzat!I35</f>
        <v>0</v>
      </c>
      <c r="M87" s="246">
        <f t="shared" si="14"/>
        <v>0</v>
      </c>
    </row>
    <row r="88" spans="1:13" ht="12" thickBot="1">
      <c r="A88" s="40"/>
      <c r="B88" s="16" t="s">
        <v>61</v>
      </c>
      <c r="C88" s="33"/>
      <c r="D88" s="33">
        <v>0</v>
      </c>
      <c r="E88" s="241"/>
      <c r="F88" s="251">
        <f>Könyvtár!D36+Önkormányzat!F36</f>
        <v>3500</v>
      </c>
      <c r="G88" s="251"/>
      <c r="H88" s="251"/>
      <c r="I88" s="269"/>
      <c r="J88" s="250">
        <f>Önkormányzat!G36</f>
        <v>0</v>
      </c>
      <c r="K88" s="250">
        <f>Önkormányzat!H36</f>
        <v>100000</v>
      </c>
      <c r="L88" s="250">
        <f>Önkormányzat!I36</f>
        <v>149677</v>
      </c>
      <c r="M88" s="246">
        <f t="shared" si="14"/>
        <v>253177</v>
      </c>
    </row>
    <row r="89" spans="1:13" ht="23.25" thickBot="1">
      <c r="A89" s="9" t="s">
        <v>28</v>
      </c>
      <c r="B89" s="10" t="s">
        <v>169</v>
      </c>
      <c r="C89" s="11">
        <f>Önkormányzat!C37+Start!C37+Községgazd!C37+Könyvtár!C37+Ovi!C38+Közvilágítás!C38</f>
        <v>3950</v>
      </c>
      <c r="D89" s="11">
        <v>0</v>
      </c>
      <c r="E89" s="11">
        <f>Önkormányzat!E37+Start!E37+Községgazd!C37+Könyvtár!C37+Közút!C37</f>
        <v>1826000</v>
      </c>
      <c r="F89" s="252">
        <f>Önkormányzat!F37+Start!F37+Könyvtár!D37</f>
        <v>3818212</v>
      </c>
      <c r="G89" s="252"/>
      <c r="H89" s="252">
        <f>E89-(Önkormányzat!E37+Start!E37+Községgazd!G37+Könyvtár!H37+Ovi!E38+Közvilágítás!H38)</f>
        <v>-2125750</v>
      </c>
      <c r="I89" s="252"/>
      <c r="J89" s="252">
        <f>Önkormányzat!G37+Start!G37+Könyvtár!E37</f>
        <v>91660</v>
      </c>
      <c r="K89" s="252">
        <f>Önkormányzat!H37+Start!H37+Könyvtár!F37</f>
        <v>0</v>
      </c>
      <c r="L89" s="252">
        <f>Önkormányzat!I37+Start!I37+Könyvtár!G37</f>
        <v>0</v>
      </c>
      <c r="M89" s="247">
        <f>E89+F89+J89+K89</f>
        <v>5735872</v>
      </c>
    </row>
    <row r="90" spans="1:13" ht="11.25">
      <c r="A90" s="34"/>
      <c r="B90" s="20" t="s">
        <v>62</v>
      </c>
      <c r="C90" s="15">
        <f>485+262+121+6</f>
        <v>874</v>
      </c>
      <c r="D90" s="15">
        <v>0</v>
      </c>
      <c r="E90" s="241">
        <v>1775000</v>
      </c>
      <c r="F90" s="249">
        <f>Önkormányzat!F38+Start!F38+Könyvtár!D38</f>
        <v>3818212</v>
      </c>
      <c r="G90" s="249">
        <v>0</v>
      </c>
      <c r="H90" s="288"/>
      <c r="I90" s="288"/>
      <c r="J90" s="259">
        <v>89910</v>
      </c>
      <c r="K90" s="259"/>
      <c r="L90" s="259"/>
      <c r="M90" s="289">
        <f>J90+F90+E90</f>
        <v>5683122</v>
      </c>
    </row>
    <row r="91" spans="1:13" ht="11.25">
      <c r="A91" s="34"/>
      <c r="B91" s="20" t="s">
        <v>209</v>
      </c>
      <c r="C91" s="15">
        <f>9+16</f>
        <v>25</v>
      </c>
      <c r="D91" s="15">
        <v>0</v>
      </c>
      <c r="E91" s="241">
        <v>25000</v>
      </c>
      <c r="F91" s="250">
        <v>0</v>
      </c>
      <c r="G91" s="250">
        <v>0</v>
      </c>
      <c r="H91" s="395"/>
      <c r="I91" s="395"/>
      <c r="J91" s="250"/>
      <c r="K91" s="250"/>
      <c r="L91" s="250"/>
      <c r="M91" s="246">
        <f>J91+F91+E91</f>
        <v>25000</v>
      </c>
    </row>
    <row r="92" spans="1:13" ht="23.25" thickBot="1">
      <c r="A92" s="40"/>
      <c r="B92" s="16" t="s">
        <v>64</v>
      </c>
      <c r="C92" s="33">
        <f>9+17</f>
        <v>26</v>
      </c>
      <c r="D92" s="33">
        <v>0</v>
      </c>
      <c r="E92" s="241">
        <v>26000</v>
      </c>
      <c r="F92" s="251">
        <v>0</v>
      </c>
      <c r="G92" s="251">
        <v>0</v>
      </c>
      <c r="H92" s="395"/>
      <c r="I92" s="395"/>
      <c r="J92" s="250"/>
      <c r="K92" s="250"/>
      <c r="L92" s="250"/>
      <c r="M92" s="246">
        <f>J92+F92+E92</f>
        <v>26000</v>
      </c>
    </row>
    <row r="93" spans="1:13" ht="12" thickBot="1">
      <c r="A93" s="9" t="s">
        <v>29</v>
      </c>
      <c r="B93" s="10" t="s">
        <v>30</v>
      </c>
      <c r="C93" s="11">
        <f>Önkormányzat!E41+Start!E41+Községgazd!C41+Könyvtár!C41+Ovi!E42+Közút!C41</f>
        <v>9003000</v>
      </c>
      <c r="D93" s="11">
        <f>Önkormányzat!D41+Start!D41+Községgazd!E41+Könyvtár!D41+Ovi!D42+Közvilágítás!D42</f>
        <v>90571</v>
      </c>
      <c r="E93" s="11">
        <f>Önkormányzat!E41+Start!E41+Községgazd!C41+Könyvtár!C41+Közút!C41+Közvilágítás!C42</f>
        <v>8084000</v>
      </c>
      <c r="F93" s="252">
        <f>Önkormányzat!F41+Start!F41</f>
        <v>4301206</v>
      </c>
      <c r="G93" s="252"/>
      <c r="H93" s="252">
        <f>E93-(Önkormányzat!E41+Start!E41+Községgazd!G41+Könyvtár!H41+Ovi!E42+Közvilágítás!H42)</f>
        <v>-2688900</v>
      </c>
      <c r="I93" s="252"/>
      <c r="J93" s="252">
        <f>J94+J95+J96+J104+J105</f>
        <v>715667</v>
      </c>
      <c r="K93" s="252">
        <f>K94+K95+K96+K104+K105</f>
        <v>90000</v>
      </c>
      <c r="L93" s="252">
        <f>L94+L95+L96+L104+L105</f>
        <v>1704883</v>
      </c>
      <c r="M93" s="247">
        <f>E93+F93+J93+K93+L93</f>
        <v>14895756</v>
      </c>
    </row>
    <row r="94" spans="1:13" ht="11.25">
      <c r="A94" s="38" t="s">
        <v>65</v>
      </c>
      <c r="B94" s="14" t="s">
        <v>67</v>
      </c>
      <c r="C94" s="15">
        <f>23+50+314</f>
        <v>387</v>
      </c>
      <c r="D94" s="15"/>
      <c r="E94" s="241">
        <f>Önkormányzat!E42+Start!E42+Községgazd!C42+Könyvtár!C42+Közvilágítás!C43+Közút!C42</f>
        <v>1028000</v>
      </c>
      <c r="F94" s="241">
        <f>Önkormányzat!F42+Start!F42+Községgazd!D42+Könyvtár!D42+Közvilágítás!D43</f>
        <v>2865815</v>
      </c>
      <c r="G94" s="249">
        <v>0</v>
      </c>
      <c r="H94" s="249"/>
      <c r="I94" s="267">
        <f aca="true" t="shared" si="15" ref="I94:I109">E94+F94+G94+H94</f>
        <v>3893815</v>
      </c>
      <c r="J94" s="259">
        <f>Önkormányzat!G42+Start!G42+Községgazd!E42+Könyvtár!E42+Közvilágítás!E43+Közút!D42+'Intézményen kívüli étkezés'!F42</f>
        <v>0</v>
      </c>
      <c r="K94" s="259">
        <f>Önkormányzat!H42+Start!H42</f>
        <v>0</v>
      </c>
      <c r="L94" s="259">
        <f>Önkormányzat!I42+Start!I42+Községgazd!F42+Könyvtár!G42+Közvilágítás!G43</f>
        <v>908527</v>
      </c>
      <c r="M94" s="289">
        <f>J94+F94+E94+K94+L94</f>
        <v>4802342</v>
      </c>
    </row>
    <row r="95" spans="1:13" ht="11.25">
      <c r="A95" s="34" t="s">
        <v>66</v>
      </c>
      <c r="B95" s="20" t="s">
        <v>68</v>
      </c>
      <c r="C95" s="15">
        <v>100</v>
      </c>
      <c r="D95" s="15"/>
      <c r="E95" s="241">
        <f>Önkormányzat!E43+Start!E43+Községgazd!C43+Könyvtár!C43+Közvilágítás!C44+Közút!C43</f>
        <v>125000</v>
      </c>
      <c r="F95" s="241"/>
      <c r="G95" s="250">
        <v>0</v>
      </c>
      <c r="H95" s="250"/>
      <c r="I95" s="268">
        <f t="shared" si="15"/>
        <v>125000</v>
      </c>
      <c r="J95" s="250">
        <f>Önkormányzat!G43+Start!G43+Községgazd!E43+Könyvtár!E43+Közvilágítás!E44+Közút!D43</f>
        <v>0</v>
      </c>
      <c r="K95" s="250">
        <f>Önkormányzat!H43+Start!H43</f>
        <v>0</v>
      </c>
      <c r="L95" s="250">
        <f>Önkormányzat!I43+Start!I43+Községgazd!F43+Könyvtár!G43+Közvilágítás!G44</f>
        <v>0</v>
      </c>
      <c r="M95" s="246">
        <f>J95+F95+E95+K95+L95</f>
        <v>125000</v>
      </c>
    </row>
    <row r="96" spans="1:16" ht="11.25">
      <c r="A96" s="34" t="s">
        <v>69</v>
      </c>
      <c r="B96" s="20" t="s">
        <v>70</v>
      </c>
      <c r="C96" s="15">
        <f>SUM(C97:C103)</f>
        <v>3695</v>
      </c>
      <c r="D96" s="15">
        <f>SUM(D97:D103)</f>
        <v>314</v>
      </c>
      <c r="E96" s="241">
        <f>Önkormányzat!E44+Start!E44+Községgazd!C44+Könyvtár!C44+Közvilágítás!C45+Közút!C44</f>
        <v>5382000</v>
      </c>
      <c r="F96" s="241">
        <f>SUM(F97:F103)</f>
        <v>206000</v>
      </c>
      <c r="G96" s="250">
        <f>SUM(G97:G103)</f>
        <v>0</v>
      </c>
      <c r="H96" s="250">
        <f>SUM(H97:H103)</f>
        <v>0</v>
      </c>
      <c r="I96" s="268">
        <f t="shared" si="15"/>
        <v>5588000</v>
      </c>
      <c r="J96" s="250">
        <f>SUM(J97:J103)</f>
        <v>584607</v>
      </c>
      <c r="K96" s="250">
        <f>SUM(K97:K103)</f>
        <v>90000</v>
      </c>
      <c r="L96" s="250">
        <f>SUM(L97:L103)</f>
        <v>436356</v>
      </c>
      <c r="M96" s="246">
        <f aca="true" t="shared" si="16" ref="M96:M109">J96+F96+E96+K96+L96</f>
        <v>6698963</v>
      </c>
      <c r="O96" s="266"/>
      <c r="P96" s="266"/>
    </row>
    <row r="97" spans="1:13" ht="11.25">
      <c r="A97" s="34"/>
      <c r="B97" s="20" t="s">
        <v>91</v>
      </c>
      <c r="C97" s="15">
        <v>1059</v>
      </c>
      <c r="D97" s="15"/>
      <c r="E97" s="241">
        <f>Önkormányzat!E45+Start!E45+Községgazd!C45+Könyvtár!C45+Közvilágítás!C46+Közút!C45</f>
        <v>2217000</v>
      </c>
      <c r="F97" s="241"/>
      <c r="G97" s="250">
        <v>0</v>
      </c>
      <c r="H97" s="250"/>
      <c r="I97" s="268">
        <f t="shared" si="15"/>
        <v>2217000</v>
      </c>
      <c r="J97" s="250">
        <f>Önkormányzat!G45+Start!G45+Községgazd!E45+Könyvtár!E45+Közvilágítás!E46</f>
        <v>0</v>
      </c>
      <c r="K97" s="250">
        <f>Önkormányzat!H45+Start!H45</f>
        <v>0</v>
      </c>
      <c r="L97" s="250">
        <f>Önkormányzat!I45+Start!I45+Községgazd!F45+Könyvtár!G45+Közvilágítás!G46</f>
        <v>-120000</v>
      </c>
      <c r="M97" s="439">
        <f t="shared" si="16"/>
        <v>2097000</v>
      </c>
    </row>
    <row r="98" spans="1:13" ht="11.25">
      <c r="A98" s="34"/>
      <c r="B98" s="20" t="s">
        <v>92</v>
      </c>
      <c r="C98" s="15">
        <f>550+438</f>
        <v>988</v>
      </c>
      <c r="D98" s="15"/>
      <c r="E98" s="241">
        <f>Önkormányzat!E46+Könyvtár!C48+Közvilágítás!C49+Közút!C48</f>
        <v>988000</v>
      </c>
      <c r="F98" s="241"/>
      <c r="G98" s="250">
        <v>0</v>
      </c>
      <c r="H98" s="250"/>
      <c r="I98" s="268">
        <f t="shared" si="15"/>
        <v>988000</v>
      </c>
      <c r="J98" s="250">
        <f>Önkormányzat!G46+Könyvtár!E48+Közút!D48</f>
        <v>0</v>
      </c>
      <c r="K98" s="250">
        <f>Önkormányzat!H46+Könyvtár!H48+Közút!E48</f>
        <v>0</v>
      </c>
      <c r="L98" s="250">
        <f>Önkormányzat!I46+Könyvtár!G48</f>
        <v>20000</v>
      </c>
      <c r="M98" s="439">
        <f t="shared" si="16"/>
        <v>1008000</v>
      </c>
    </row>
    <row r="99" spans="1:13" ht="11.25">
      <c r="A99" s="34"/>
      <c r="B99" s="23" t="s">
        <v>372</v>
      </c>
      <c r="C99" s="58"/>
      <c r="D99" s="58"/>
      <c r="E99" s="241"/>
      <c r="F99" s="250"/>
      <c r="G99" s="250"/>
      <c r="H99" s="250"/>
      <c r="I99" s="268">
        <f t="shared" si="15"/>
        <v>0</v>
      </c>
      <c r="J99" s="250">
        <f>Önkormányzat!G47</f>
        <v>194100</v>
      </c>
      <c r="K99" s="250">
        <f>Önkormányzat!H47+Könyvtár!F47</f>
        <v>90000</v>
      </c>
      <c r="L99" s="250">
        <f>Könyvtár!G47</f>
        <v>0</v>
      </c>
      <c r="M99" s="439">
        <f t="shared" si="16"/>
        <v>284100</v>
      </c>
    </row>
    <row r="100" spans="1:13" ht="11.25">
      <c r="A100" s="34"/>
      <c r="B100" s="20" t="s">
        <v>97</v>
      </c>
      <c r="C100" s="15">
        <v>157</v>
      </c>
      <c r="D100" s="15">
        <v>314</v>
      </c>
      <c r="E100" s="241">
        <f>Önkormányzat!E48+Könyvtár!C46</f>
        <v>521000</v>
      </c>
      <c r="F100" s="241"/>
      <c r="G100" s="250"/>
      <c r="H100" s="250"/>
      <c r="I100" s="268">
        <f t="shared" si="15"/>
        <v>521000</v>
      </c>
      <c r="J100" s="250">
        <f>Önkormányzat!G48+Könyvtár!E46+'Intézményen kívüli étkezés'!E46</f>
        <v>297307</v>
      </c>
      <c r="K100" s="250">
        <f>Önkormányzat!H48</f>
        <v>0</v>
      </c>
      <c r="L100" s="250">
        <f>Önkormányzat!I48+Start!I48+Községgazd!F46+Könyvtár!G46+Közvilágítás!G47</f>
        <v>28000</v>
      </c>
      <c r="M100" s="439">
        <f t="shared" si="16"/>
        <v>846307</v>
      </c>
    </row>
    <row r="101" spans="1:13" ht="11.25">
      <c r="A101" s="34"/>
      <c r="B101" s="20" t="s">
        <v>72</v>
      </c>
      <c r="C101" s="15">
        <v>300</v>
      </c>
      <c r="D101" s="15"/>
      <c r="E101" s="241">
        <f>Önkormányzat!E49+Start!E49+Községgazd!C48+Könyvtár!C49+Közvilágítás!C50+Közút!C49</f>
        <v>465000</v>
      </c>
      <c r="F101" s="241"/>
      <c r="G101" s="250">
        <v>0</v>
      </c>
      <c r="H101" s="250"/>
      <c r="I101" s="268">
        <f t="shared" si="15"/>
        <v>465000</v>
      </c>
      <c r="J101" s="250">
        <f>Önkormányzat!G49+Start!G49+Községgazd!E48+Könyvtár!E49+Közvilágítás!E50+Közút!D49</f>
        <v>50000</v>
      </c>
      <c r="K101" s="250">
        <f>Önkormányzat!H49+Start!H49</f>
        <v>0</v>
      </c>
      <c r="L101" s="250">
        <f>Önkormányzat!I49+Start!I49+Községgazd!F48+Könyvtár!G49+Közvilágítás!G50</f>
        <v>68000</v>
      </c>
      <c r="M101" s="439">
        <f>J101+F101+E101+K101+L101</f>
        <v>583000</v>
      </c>
    </row>
    <row r="102" spans="1:13" ht="11.25">
      <c r="A102" s="34"/>
      <c r="B102" s="20" t="s">
        <v>394</v>
      </c>
      <c r="C102" s="15"/>
      <c r="D102" s="15"/>
      <c r="E102" s="241"/>
      <c r="F102" s="241"/>
      <c r="G102" s="250"/>
      <c r="H102" s="250"/>
      <c r="I102" s="268"/>
      <c r="J102" s="250"/>
      <c r="K102" s="250"/>
      <c r="L102" s="250">
        <f>Önkormányzat!I50</f>
        <v>3000</v>
      </c>
      <c r="M102" s="246">
        <f>J102+F102+E102+K102+L102</f>
        <v>3000</v>
      </c>
    </row>
    <row r="103" spans="1:13" ht="11.25">
      <c r="A103" s="34"/>
      <c r="B103" s="20" t="s">
        <v>73</v>
      </c>
      <c r="C103" s="15">
        <f>232+435+300+24+34+14+7+60-84+169</f>
        <v>1191</v>
      </c>
      <c r="D103" s="15"/>
      <c r="E103" s="241">
        <f>Önkormányzat!E51+Start!E50+Községgazd!C49+Könyvtár!C50+Közvilágítás!C51+Közút!C50</f>
        <v>1191000</v>
      </c>
      <c r="F103" s="241">
        <v>206000</v>
      </c>
      <c r="G103" s="250">
        <v>0</v>
      </c>
      <c r="H103" s="250"/>
      <c r="I103" s="268">
        <f t="shared" si="15"/>
        <v>1397000</v>
      </c>
      <c r="J103" s="250">
        <f>Önkormányzat!G51+Start!G50+Községgazd!E49+Könyvtár!E50+Közvilágítás!E51</f>
        <v>43200</v>
      </c>
      <c r="K103" s="250">
        <f>Önkormányzat!H51+Start!H50</f>
        <v>0</v>
      </c>
      <c r="L103" s="250">
        <f>Önkormányzat!I51+Start!I50+Községgazd!F49+Könyvtár!G50+Közvilágítás!G51</f>
        <v>437356</v>
      </c>
      <c r="M103" s="246">
        <f>J103+F103+E103+K103+L103</f>
        <v>1877556</v>
      </c>
    </row>
    <row r="104" spans="1:13" ht="22.5">
      <c r="A104" s="34" t="s">
        <v>74</v>
      </c>
      <c r="B104" s="20" t="s">
        <v>75</v>
      </c>
      <c r="C104" s="15"/>
      <c r="D104" s="15"/>
      <c r="E104" s="241"/>
      <c r="F104" s="250"/>
      <c r="G104" s="250">
        <v>0</v>
      </c>
      <c r="H104" s="250"/>
      <c r="I104" s="268">
        <f t="shared" si="15"/>
        <v>0</v>
      </c>
      <c r="J104" s="250"/>
      <c r="K104" s="250"/>
      <c r="L104" s="250"/>
      <c r="M104" s="246">
        <f t="shared" si="16"/>
        <v>0</v>
      </c>
    </row>
    <row r="105" spans="1:13" ht="22.5">
      <c r="A105" s="34" t="s">
        <v>76</v>
      </c>
      <c r="B105" s="20" t="s">
        <v>77</v>
      </c>
      <c r="C105" s="15">
        <f>C106+C107+C108+C109</f>
        <v>742</v>
      </c>
      <c r="D105" s="15">
        <f>D106+D107+D108+D109</f>
        <v>257</v>
      </c>
      <c r="E105" s="241">
        <f>E106+E107</f>
        <v>1549000</v>
      </c>
      <c r="F105" s="241">
        <f>F106+F107+F108+F109</f>
        <v>1229391</v>
      </c>
      <c r="G105" s="250">
        <f>SUM(G106:G109)</f>
        <v>0</v>
      </c>
      <c r="H105" s="250">
        <f>SUM(H106:H109)</f>
        <v>0</v>
      </c>
      <c r="I105" s="268">
        <f t="shared" si="15"/>
        <v>2778391</v>
      </c>
      <c r="J105" s="250">
        <f>J106+J107+J108+J109</f>
        <v>131060</v>
      </c>
      <c r="K105" s="250">
        <f>K106+K107+K108+K109</f>
        <v>0</v>
      </c>
      <c r="L105" s="250">
        <f>Önkormányzat!I53+Start!I52+Községgazd!F51+Könyvtár!G52+Közvilágítás!G53</f>
        <v>360000</v>
      </c>
      <c r="M105" s="246">
        <f t="shared" si="16"/>
        <v>3269451</v>
      </c>
    </row>
    <row r="106" spans="1:13" ht="11.25">
      <c r="A106" s="34"/>
      <c r="B106" s="20" t="s">
        <v>87</v>
      </c>
      <c r="C106" s="21">
        <f>42+85+20+27+280+15+81+2+16+81-23+46</f>
        <v>672</v>
      </c>
      <c r="D106" s="21">
        <v>85</v>
      </c>
      <c r="E106" s="241">
        <v>1307000</v>
      </c>
      <c r="F106" s="241">
        <v>914391</v>
      </c>
      <c r="G106" s="250"/>
      <c r="H106" s="250"/>
      <c r="I106" s="268">
        <f t="shared" si="15"/>
        <v>2221391</v>
      </c>
      <c r="J106" s="250">
        <f>Önkormányzat!G54+Start!G53+Községgazd!E52+Könyvtár!E53+Közvilágítás!E54+'Intézményen kívüli étkezés'!E53</f>
        <v>131060</v>
      </c>
      <c r="K106" s="250">
        <f>Önkormányzat!H54+Start!H53</f>
        <v>0</v>
      </c>
      <c r="L106" s="250">
        <f>Önkormányzat!I54+Start!I53+Községgazd!F52+Könyvtár!G53+Közvilágítás!G54</f>
        <v>195000</v>
      </c>
      <c r="M106" s="246">
        <f t="shared" si="16"/>
        <v>2547451</v>
      </c>
    </row>
    <row r="107" spans="1:13" ht="11.25">
      <c r="A107" s="34"/>
      <c r="B107" s="20" t="s">
        <v>78</v>
      </c>
      <c r="C107" s="15">
        <v>70</v>
      </c>
      <c r="D107" s="15">
        <v>172</v>
      </c>
      <c r="E107" s="241">
        <v>242000</v>
      </c>
      <c r="F107" s="250"/>
      <c r="G107" s="250">
        <v>0</v>
      </c>
      <c r="H107" s="250"/>
      <c r="I107" s="268">
        <f t="shared" si="15"/>
        <v>242000</v>
      </c>
      <c r="J107" s="250">
        <f>Önkormányzat!G55</f>
        <v>0</v>
      </c>
      <c r="K107" s="250">
        <f>Önkormányzat!H55</f>
        <v>0</v>
      </c>
      <c r="L107" s="250">
        <f>Önkormányzat!I55+Start!I54+Községgazd!F53+Könyvtár!G54+Közvilágítás!G55</f>
        <v>0</v>
      </c>
      <c r="M107" s="246">
        <f t="shared" si="16"/>
        <v>242000</v>
      </c>
    </row>
    <row r="108" spans="1:13" ht="11.25">
      <c r="A108" s="34"/>
      <c r="B108" s="20" t="s">
        <v>13</v>
      </c>
      <c r="C108" s="15"/>
      <c r="D108" s="15"/>
      <c r="E108" s="241"/>
      <c r="F108" s="250"/>
      <c r="G108" s="250"/>
      <c r="H108" s="250"/>
      <c r="I108" s="268"/>
      <c r="J108" s="250"/>
      <c r="K108" s="250"/>
      <c r="L108" s="250">
        <f>Önkormányzat!I56+Start!I55+Községgazd!F54+Könyvtár!G55+Közvilágítás!G56</f>
        <v>0</v>
      </c>
      <c r="M108" s="246">
        <f t="shared" si="16"/>
        <v>0</v>
      </c>
    </row>
    <row r="109" spans="1:13" ht="12" thickBot="1">
      <c r="A109" s="40"/>
      <c r="B109" s="16" t="s">
        <v>79</v>
      </c>
      <c r="C109" s="33"/>
      <c r="D109" s="33"/>
      <c r="E109" s="241">
        <v>0</v>
      </c>
      <c r="F109" s="251">
        <v>315000</v>
      </c>
      <c r="G109" s="251">
        <v>0</v>
      </c>
      <c r="H109" s="251"/>
      <c r="I109" s="269">
        <f t="shared" si="15"/>
        <v>315000</v>
      </c>
      <c r="J109" s="291">
        <f>Önkormányzat!G57+Start!G56+Községgazd!E55+Könyvtár!E54+Közvilágítás!E55+Közút!D54</f>
        <v>0</v>
      </c>
      <c r="K109" s="291">
        <f>Önkormányzat!H57+Start!H56+Községgazd!G55+Könyvtár!H54+Közvilágítás!H55+Közút!E54</f>
        <v>0</v>
      </c>
      <c r="L109" s="250">
        <f>Önkormányzat!I57+Start!I56+Községgazd!F55+Könyvtár!G56+Közvilágítás!G57</f>
        <v>165000</v>
      </c>
      <c r="M109" s="246">
        <f t="shared" si="16"/>
        <v>480000</v>
      </c>
    </row>
    <row r="110" spans="1:13" ht="12" thickBot="1">
      <c r="A110" s="9" t="s">
        <v>31</v>
      </c>
      <c r="B110" s="10" t="s">
        <v>32</v>
      </c>
      <c r="C110" s="11">
        <f>Önkormányzat!C58</f>
        <v>2683</v>
      </c>
      <c r="D110" s="11">
        <v>0</v>
      </c>
      <c r="E110" s="11">
        <f>SUM(C110:D110)*1000</f>
        <v>2683000</v>
      </c>
      <c r="F110" s="252">
        <v>0</v>
      </c>
      <c r="G110" s="252"/>
      <c r="H110" s="252">
        <f>E110-(Önkormányzat!E58)</f>
        <v>0</v>
      </c>
      <c r="I110" s="252"/>
      <c r="J110" s="252">
        <v>0</v>
      </c>
      <c r="K110" s="252">
        <f>Önkormányzat!H58</f>
        <v>636300</v>
      </c>
      <c r="L110" s="252">
        <f>Önkormányzat!I58+Start!I57+Községgazd!F56+Könyvtár!G57+Közvilágítás!G58</f>
        <v>182700</v>
      </c>
      <c r="M110" s="247">
        <f aca="true" t="shared" si="17" ref="M110:M117">E110+F110+J110+K110+L110</f>
        <v>3502000</v>
      </c>
    </row>
    <row r="111" spans="1:13" ht="12" thickBot="1">
      <c r="A111" s="9" t="s">
        <v>33</v>
      </c>
      <c r="B111" s="10" t="s">
        <v>170</v>
      </c>
      <c r="C111" s="11">
        <f>SUM(C112:C116)</f>
        <v>3858</v>
      </c>
      <c r="D111" s="11">
        <f>SUM(D112:D116)</f>
        <v>150</v>
      </c>
      <c r="E111" s="11">
        <f>SUM(C111:D111)*1000</f>
        <v>4008000</v>
      </c>
      <c r="F111" s="252">
        <f aca="true" t="shared" si="18" ref="F111:K111">F112+F113+F114+F115+F116</f>
        <v>1392427</v>
      </c>
      <c r="G111" s="252">
        <f t="shared" si="18"/>
        <v>0</v>
      </c>
      <c r="H111" s="252">
        <f t="shared" si="18"/>
        <v>0</v>
      </c>
      <c r="I111" s="252">
        <f t="shared" si="18"/>
        <v>0</v>
      </c>
      <c r="J111" s="252">
        <f t="shared" si="18"/>
        <v>-903554</v>
      </c>
      <c r="K111" s="252">
        <f t="shared" si="18"/>
        <v>-151200</v>
      </c>
      <c r="L111" s="252">
        <f>Önkormányzat!I63+Start!I58+Községgazd!F57+Könyvtár!G58+Közvilágítás!G59</f>
        <v>6901703</v>
      </c>
      <c r="M111" s="247">
        <f t="shared" si="17"/>
        <v>11247376</v>
      </c>
    </row>
    <row r="112" spans="1:13" ht="22.5">
      <c r="A112" s="38" t="s">
        <v>171</v>
      </c>
      <c r="B112" s="14" t="s">
        <v>172</v>
      </c>
      <c r="C112" s="15">
        <f>18+191+900</f>
        <v>1109</v>
      </c>
      <c r="D112" s="15"/>
      <c r="E112" s="241">
        <f>(D112+C112)*1000</f>
        <v>1109000</v>
      </c>
      <c r="F112" s="249">
        <v>-29002</v>
      </c>
      <c r="G112" s="249"/>
      <c r="H112" s="249"/>
      <c r="I112" s="249"/>
      <c r="J112" s="249">
        <f>Önkormányzat!G64</f>
        <v>0</v>
      </c>
      <c r="K112" s="249">
        <f>Önkormányzat!H64</f>
        <v>0</v>
      </c>
      <c r="L112" s="428"/>
      <c r="M112" s="244">
        <f t="shared" si="17"/>
        <v>1079998</v>
      </c>
    </row>
    <row r="113" spans="1:13" ht="22.5">
      <c r="A113" s="34" t="s">
        <v>173</v>
      </c>
      <c r="B113" s="20" t="s">
        <v>174</v>
      </c>
      <c r="C113" s="21">
        <f>510+200</f>
        <v>710</v>
      </c>
      <c r="D113" s="21"/>
      <c r="E113" s="62">
        <f>(D113+C113)*1000</f>
        <v>710000</v>
      </c>
      <c r="F113" s="250">
        <v>0</v>
      </c>
      <c r="G113" s="250"/>
      <c r="H113" s="250"/>
      <c r="I113" s="250"/>
      <c r="J113" s="250">
        <f>Önkormányzat!G65+Start!G59</f>
        <v>161922</v>
      </c>
      <c r="K113" s="250">
        <f>Önkormányzat!H65+Start!H59</f>
        <v>0</v>
      </c>
      <c r="L113" s="426"/>
      <c r="M113" s="246">
        <f t="shared" si="17"/>
        <v>871922</v>
      </c>
    </row>
    <row r="114" spans="1:13" ht="22.5">
      <c r="A114" s="34" t="s">
        <v>175</v>
      </c>
      <c r="B114" s="20" t="s">
        <v>176</v>
      </c>
      <c r="C114" s="21"/>
      <c r="D114" s="21"/>
      <c r="E114" s="62"/>
      <c r="F114" s="250"/>
      <c r="G114" s="250"/>
      <c r="H114" s="250"/>
      <c r="I114" s="250"/>
      <c r="J114" s="250"/>
      <c r="K114" s="250"/>
      <c r="L114" s="426"/>
      <c r="M114" s="246">
        <f t="shared" si="17"/>
        <v>0</v>
      </c>
    </row>
    <row r="115" spans="1:13" ht="22.5">
      <c r="A115" s="34" t="s">
        <v>178</v>
      </c>
      <c r="B115" s="20" t="s">
        <v>177</v>
      </c>
      <c r="C115" s="21">
        <v>39</v>
      </c>
      <c r="D115" s="21">
        <v>150</v>
      </c>
      <c r="E115" s="62">
        <f>(D115+C115)*1000</f>
        <v>189000</v>
      </c>
      <c r="F115" s="250">
        <v>500000</v>
      </c>
      <c r="G115" s="250"/>
      <c r="H115" s="250"/>
      <c r="I115" s="250"/>
      <c r="J115" s="250">
        <f>Önkormányzat!G66</f>
        <v>0</v>
      </c>
      <c r="K115" s="250">
        <f>Önkormányzat!H66</f>
        <v>0</v>
      </c>
      <c r="L115" s="426">
        <v>132000</v>
      </c>
      <c r="M115" s="246">
        <f t="shared" si="17"/>
        <v>821000</v>
      </c>
    </row>
    <row r="116" spans="1:13" ht="22.5">
      <c r="A116" s="34" t="s">
        <v>362</v>
      </c>
      <c r="B116" s="20" t="s">
        <v>179</v>
      </c>
      <c r="C116" s="21">
        <v>2000</v>
      </c>
      <c r="D116" s="21"/>
      <c r="E116" s="62">
        <v>2000000</v>
      </c>
      <c r="F116" s="250">
        <f aca="true" t="shared" si="19" ref="F116:L116">F117+F118</f>
        <v>921429</v>
      </c>
      <c r="G116" s="250">
        <f t="shared" si="19"/>
        <v>0</v>
      </c>
      <c r="H116" s="250">
        <f t="shared" si="19"/>
        <v>0</v>
      </c>
      <c r="I116" s="250">
        <f t="shared" si="19"/>
        <v>0</v>
      </c>
      <c r="J116" s="250">
        <f t="shared" si="19"/>
        <v>-1065476</v>
      </c>
      <c r="K116" s="250">
        <f t="shared" si="19"/>
        <v>-151200</v>
      </c>
      <c r="L116" s="250">
        <f t="shared" si="19"/>
        <v>6769703</v>
      </c>
      <c r="M116" s="246">
        <f t="shared" si="17"/>
        <v>8474456</v>
      </c>
    </row>
    <row r="117" spans="1:13" ht="11.25">
      <c r="A117" s="34"/>
      <c r="B117" s="20" t="s">
        <v>180</v>
      </c>
      <c r="C117" s="21"/>
      <c r="D117" s="21"/>
      <c r="E117" s="62">
        <v>2000000</v>
      </c>
      <c r="F117" s="250">
        <f>29467+891962</f>
        <v>921429</v>
      </c>
      <c r="G117" s="250"/>
      <c r="H117" s="250"/>
      <c r="I117" s="250"/>
      <c r="J117" s="250">
        <f>Önkormányzat!G67</f>
        <v>-1065476</v>
      </c>
      <c r="K117" s="250">
        <f>Önkormányzat!H67</f>
        <v>-151200</v>
      </c>
      <c r="L117" s="426">
        <f>Önkormányzat!I67</f>
        <v>6769703</v>
      </c>
      <c r="M117" s="246">
        <f t="shared" si="17"/>
        <v>8474456</v>
      </c>
    </row>
    <row r="118" spans="1:13" ht="12" thickBot="1">
      <c r="A118" s="40"/>
      <c r="B118" s="16" t="s">
        <v>181</v>
      </c>
      <c r="C118" s="17"/>
      <c r="D118" s="17"/>
      <c r="E118" s="257"/>
      <c r="F118" s="251"/>
      <c r="G118" s="251"/>
      <c r="H118" s="251"/>
      <c r="I118" s="251"/>
      <c r="J118" s="251"/>
      <c r="K118" s="251"/>
      <c r="L118" s="427"/>
      <c r="M118" s="245"/>
    </row>
    <row r="119" spans="1:13" ht="12" thickBot="1">
      <c r="A119" s="293" t="s">
        <v>34</v>
      </c>
      <c r="B119" s="294" t="s">
        <v>35</v>
      </c>
      <c r="C119" s="300">
        <f>(Önkormányzat!C68+Önkormányzat!C69+Start!C60+Start!C61+Községgazd!C58+Községgazd!C59+Könyvtár!C57+Könyvtár!C58+Ovi!C58+Ovi!C59+Közvilágítás!C58+Közvilágítás!C59)</f>
        <v>506000</v>
      </c>
      <c r="D119" s="300"/>
      <c r="E119" s="300">
        <f>SUM(C119:D119)</f>
        <v>506000</v>
      </c>
      <c r="F119" s="288">
        <f>Önkormányzat!F68+Önkormányzat!F69+Start!F60+Start!F61</f>
        <v>4023566</v>
      </c>
      <c r="G119" s="288"/>
      <c r="H119" s="288">
        <f>E119-(Önkormányzat!E68+Önkormányzat!E69+Start!E60+Start!E61+Községgazd!G58+Községgazd!G59+Könyvtár!H57+Könyvtár!H58+Ovi!E58+Ovi!E59+Közvilágítás!H58+Közvilágítás!H59)</f>
        <v>0</v>
      </c>
      <c r="I119" s="288"/>
      <c r="J119" s="288">
        <f>Önkormányzat!G68+Önkormányzat!G69+Start!G60+Start!G61+Községgazd!E58+Községgazd!E59+Könyvtár!E57+Könyvtár!E58+Közvilágítás!E58+Közvilágítás!E59+Közút!D57+Közút!D58</f>
        <v>0</v>
      </c>
      <c r="K119" s="288">
        <f>Önkormányzat!H68+Önkormányzat!H69+Start!H60+Start!H61</f>
        <v>0</v>
      </c>
      <c r="L119" s="288">
        <f>Önkormányzat!I68+Önkormányzat!I69+Start!I60+Start!I61</f>
        <v>0</v>
      </c>
      <c r="M119" s="301">
        <f>E119+F119+J119+K119</f>
        <v>4529566</v>
      </c>
    </row>
    <row r="120" spans="1:13" ht="12" hidden="1" thickBot="1">
      <c r="A120" s="396"/>
      <c r="B120" s="397"/>
      <c r="C120" s="398"/>
      <c r="D120" s="398"/>
      <c r="E120" s="398"/>
      <c r="F120" s="258"/>
      <c r="G120" s="258"/>
      <c r="H120" s="258"/>
      <c r="I120" s="258"/>
      <c r="J120" s="258"/>
      <c r="K120" s="258"/>
      <c r="L120" s="430"/>
      <c r="M120" s="399"/>
    </row>
    <row r="121" spans="1:13" ht="12" thickBot="1">
      <c r="A121" s="293" t="s">
        <v>36</v>
      </c>
      <c r="B121" s="294" t="s">
        <v>37</v>
      </c>
      <c r="C121" s="300">
        <f>Önkormányzat!E70+Önkormányzat!E71+Start!E62+Start!E63+Községgazd!C60+Községgazd!C61+Könyvtár!C59+Könyvtár!C60+Ovi!E60+Ovi!E61+Közvilágítás!C60+Közvilágítás!C61+Közút!C59+Közút!C60</f>
        <v>500000</v>
      </c>
      <c r="D121" s="300"/>
      <c r="E121" s="300">
        <f>SUM(C121:D121)</f>
        <v>500000</v>
      </c>
      <c r="F121" s="288">
        <v>0</v>
      </c>
      <c r="G121" s="288"/>
      <c r="H121" s="288">
        <f>E121-(Önkormányzat!E70+Önkormányzat!E71+Start!E62+Start!E63+Községgazd!G60+Községgazd!G61+Könyvtár!H59+Könyvtár!H60+Ovi!E60+Ovi!E61+Közvilágítás!H60+Közvilágítás!H61+Közút!E59+Közút!E60)</f>
        <v>-17647059</v>
      </c>
      <c r="I121" s="288"/>
      <c r="J121" s="288">
        <f>Önkormányzat!G70+Önkormányzat!G71+Start!G62+Start!G63+Községgazd!E60+Községgazd!E61+Könyvtár!E59+Könyvtár!E60+Közvilágítás!E60+Közvilágítás!E61+Közút!D59+Közút!D60</f>
        <v>17647059</v>
      </c>
      <c r="K121" s="288">
        <f>Önkormányzat!H70+Önkormányzat!H71+Start!H62+Start!H63</f>
        <v>0</v>
      </c>
      <c r="L121" s="288">
        <f>Önkormányzat!I70+Önkormányzat!I71+Start!I62+Start!I63</f>
        <v>0</v>
      </c>
      <c r="M121" s="301">
        <f>E121+F121+J121+K121</f>
        <v>18147059</v>
      </c>
    </row>
    <row r="122" spans="1:13" ht="12" hidden="1" thickBot="1">
      <c r="A122" s="396"/>
      <c r="B122" s="397"/>
      <c r="C122" s="398"/>
      <c r="D122" s="398"/>
      <c r="E122" s="398"/>
      <c r="F122" s="258"/>
      <c r="G122" s="258"/>
      <c r="H122" s="258"/>
      <c r="I122" s="258"/>
      <c r="J122" s="258"/>
      <c r="K122" s="258"/>
      <c r="L122" s="430"/>
      <c r="M122" s="399"/>
    </row>
    <row r="123" spans="1:13" ht="12" thickBot="1">
      <c r="A123" s="9" t="s">
        <v>38</v>
      </c>
      <c r="B123" s="10" t="s">
        <v>182</v>
      </c>
      <c r="C123" s="11"/>
      <c r="D123" s="11"/>
      <c r="E123" s="11"/>
      <c r="F123" s="252"/>
      <c r="G123" s="252"/>
      <c r="H123" s="252"/>
      <c r="I123" s="252"/>
      <c r="J123" s="252"/>
      <c r="K123" s="252"/>
      <c r="L123" s="424"/>
      <c r="M123" s="247"/>
    </row>
    <row r="124" spans="1:13" ht="12" thickBot="1">
      <c r="A124" s="9" t="s">
        <v>39</v>
      </c>
      <c r="B124" s="10" t="s">
        <v>183</v>
      </c>
      <c r="C124" s="11">
        <f>C76+C89+C93+C110+C111+C119+C121+C123</f>
        <v>10037866</v>
      </c>
      <c r="D124" s="11">
        <f>D76+D89+D93+D110+D111+D119+D121+D123</f>
        <v>90721</v>
      </c>
      <c r="E124" s="11">
        <f>SUM(E76,E89,E93,E110,E111,E119,E121,E123)</f>
        <v>28085000</v>
      </c>
      <c r="F124" s="252">
        <f aca="true" t="shared" si="20" ref="F124:L124">F123+F121+F119+F111+F110+F93+F89+F76</f>
        <v>38590660</v>
      </c>
      <c r="G124" s="252">
        <f t="shared" si="20"/>
        <v>0</v>
      </c>
      <c r="H124" s="252">
        <f t="shared" si="20"/>
        <v>-30362209</v>
      </c>
      <c r="I124" s="252">
        <f t="shared" si="20"/>
        <v>0</v>
      </c>
      <c r="J124" s="252">
        <f t="shared" si="20"/>
        <v>17917658</v>
      </c>
      <c r="K124" s="252">
        <f t="shared" si="20"/>
        <v>795100</v>
      </c>
      <c r="L124" s="252">
        <f t="shared" si="20"/>
        <v>9118963</v>
      </c>
      <c r="M124" s="247">
        <f>E124+F124+J124+K124+L124</f>
        <v>94507381</v>
      </c>
    </row>
    <row r="125" spans="1:13" ht="12" thickBot="1">
      <c r="A125" s="9" t="s">
        <v>40</v>
      </c>
      <c r="B125" s="10" t="s">
        <v>41</v>
      </c>
      <c r="C125" s="11">
        <f>SUM(C126:C132)</f>
        <v>0</v>
      </c>
      <c r="D125" s="11">
        <f>SUM(D126:D132)</f>
        <v>540</v>
      </c>
      <c r="E125" s="11">
        <f>E126+E129</f>
        <v>12352000</v>
      </c>
      <c r="F125" s="252">
        <f>F128+F129</f>
        <v>852317</v>
      </c>
      <c r="G125" s="252">
        <f aca="true" t="shared" si="21" ref="G125:L125">G126+G127+G129+G130+G131+G132</f>
        <v>0</v>
      </c>
      <c r="H125" s="252">
        <f t="shared" si="21"/>
        <v>0</v>
      </c>
      <c r="I125" s="252">
        <f t="shared" si="21"/>
        <v>0</v>
      </c>
      <c r="J125" s="252">
        <f t="shared" si="21"/>
        <v>313690</v>
      </c>
      <c r="K125" s="252">
        <f t="shared" si="21"/>
        <v>504900</v>
      </c>
      <c r="L125" s="252">
        <f t="shared" si="21"/>
        <v>645716</v>
      </c>
      <c r="M125" s="247">
        <f>E125+F125+J125+K125+L125</f>
        <v>14668623</v>
      </c>
    </row>
    <row r="126" spans="1:13" ht="11.25">
      <c r="A126" s="38"/>
      <c r="B126" s="14" t="s">
        <v>184</v>
      </c>
      <c r="C126" s="15"/>
      <c r="D126" s="15">
        <v>540</v>
      </c>
      <c r="E126" s="241">
        <f>(D126+C126)*1000</f>
        <v>540000</v>
      </c>
      <c r="F126" s="249">
        <v>0</v>
      </c>
      <c r="G126" s="249"/>
      <c r="H126" s="249"/>
      <c r="I126" s="249"/>
      <c r="J126" s="249">
        <v>0</v>
      </c>
      <c r="K126" s="249"/>
      <c r="L126" s="428"/>
      <c r="M126" s="244">
        <f>E126+F126+J126+K126</f>
        <v>540000</v>
      </c>
    </row>
    <row r="127" spans="1:13" ht="11.25">
      <c r="A127" s="34"/>
      <c r="B127" s="20" t="s">
        <v>185</v>
      </c>
      <c r="C127" s="21"/>
      <c r="D127" s="21"/>
      <c r="E127" s="62"/>
      <c r="F127" s="250"/>
      <c r="G127" s="250"/>
      <c r="H127" s="250"/>
      <c r="I127" s="250"/>
      <c r="J127" s="250"/>
      <c r="K127" s="250"/>
      <c r="L127" s="426"/>
      <c r="M127" s="246"/>
    </row>
    <row r="128" spans="1:13" ht="22.5">
      <c r="A128" s="34" t="s">
        <v>360</v>
      </c>
      <c r="B128" s="20" t="s">
        <v>361</v>
      </c>
      <c r="C128" s="21"/>
      <c r="D128" s="21"/>
      <c r="E128" s="62">
        <v>0</v>
      </c>
      <c r="F128" s="250">
        <v>777707</v>
      </c>
      <c r="G128" s="250"/>
      <c r="H128" s="250"/>
      <c r="I128" s="250"/>
      <c r="J128" s="250">
        <v>0</v>
      </c>
      <c r="K128" s="250"/>
      <c r="L128" s="426"/>
      <c r="M128" s="246">
        <f>E128+F128+J128+K128</f>
        <v>777707</v>
      </c>
    </row>
    <row r="129" spans="1:13" ht="22.5">
      <c r="A129" s="34" t="s">
        <v>186</v>
      </c>
      <c r="B129" s="20" t="s">
        <v>187</v>
      </c>
      <c r="C129" s="21">
        <f>Start!E20+Községgazd!G20+Könyvtár!H20+Ovi!E20+Közvilágítás!H20+Közút!E19</f>
        <v>11812000</v>
      </c>
      <c r="D129" s="21"/>
      <c r="E129" s="62">
        <f>(D129+C129)</f>
        <v>11812000</v>
      </c>
      <c r="F129" s="250">
        <v>74610</v>
      </c>
      <c r="G129" s="250"/>
      <c r="H129" s="250"/>
      <c r="I129" s="250"/>
      <c r="J129" s="250">
        <v>313690</v>
      </c>
      <c r="K129" s="250">
        <v>504900</v>
      </c>
      <c r="L129" s="426">
        <f>Önkormányzat!I77</f>
        <v>645716</v>
      </c>
      <c r="M129" s="246">
        <f>E129+F129+J129+K129+L129</f>
        <v>13350916</v>
      </c>
    </row>
    <row r="130" spans="1:13" ht="13.5" customHeight="1">
      <c r="A130" s="400"/>
      <c r="B130" s="401" t="s">
        <v>199</v>
      </c>
      <c r="C130" s="402">
        <v>-11812000</v>
      </c>
      <c r="D130" s="402"/>
      <c r="E130" s="403"/>
      <c r="F130" s="404"/>
      <c r="G130" s="404"/>
      <c r="H130" s="404"/>
      <c r="I130" s="404"/>
      <c r="J130" s="404"/>
      <c r="K130" s="404"/>
      <c r="L130" s="435"/>
      <c r="M130" s="405">
        <f>E130+F130+J130+K130</f>
        <v>0</v>
      </c>
    </row>
    <row r="131" spans="1:13" ht="23.25" thickBot="1">
      <c r="A131" s="34" t="s">
        <v>188</v>
      </c>
      <c r="B131" s="20" t="s">
        <v>189</v>
      </c>
      <c r="C131" s="21"/>
      <c r="D131" s="21"/>
      <c r="E131" s="388"/>
      <c r="F131" s="250"/>
      <c r="G131" s="250"/>
      <c r="H131" s="250"/>
      <c r="I131" s="250"/>
      <c r="J131" s="250"/>
      <c r="K131" s="250"/>
      <c r="L131" s="426"/>
      <c r="M131" s="246"/>
    </row>
    <row r="132" spans="1:13" ht="23.25" hidden="1" thickBot="1">
      <c r="A132" s="40" t="s">
        <v>190</v>
      </c>
      <c r="B132" s="16" t="s">
        <v>191</v>
      </c>
      <c r="C132" s="17"/>
      <c r="D132" s="17"/>
      <c r="E132" s="390"/>
      <c r="F132" s="251"/>
      <c r="G132" s="251"/>
      <c r="H132" s="251"/>
      <c r="I132" s="251"/>
      <c r="J132" s="251"/>
      <c r="K132" s="251"/>
      <c r="L132" s="427"/>
      <c r="M132" s="245"/>
    </row>
    <row r="133" spans="1:13" ht="12" thickBot="1">
      <c r="A133" s="9" t="s">
        <v>42</v>
      </c>
      <c r="B133" s="10" t="s">
        <v>43</v>
      </c>
      <c r="C133" s="11">
        <f>C124+C125</f>
        <v>10037866</v>
      </c>
      <c r="D133" s="11">
        <f>D125+D124</f>
        <v>91261</v>
      </c>
      <c r="E133" s="11">
        <f>SUM(E124,E125)</f>
        <v>40437000</v>
      </c>
      <c r="F133" s="252">
        <f aca="true" t="shared" si="22" ref="F133:L133">F124+F125</f>
        <v>39442977</v>
      </c>
      <c r="G133" s="252">
        <f t="shared" si="22"/>
        <v>0</v>
      </c>
      <c r="H133" s="252">
        <f t="shared" si="22"/>
        <v>-30362209</v>
      </c>
      <c r="I133" s="252">
        <f t="shared" si="22"/>
        <v>0</v>
      </c>
      <c r="J133" s="252">
        <f>J124+J125</f>
        <v>18231348</v>
      </c>
      <c r="K133" s="252">
        <f t="shared" si="22"/>
        <v>1300000</v>
      </c>
      <c r="L133" s="252">
        <f t="shared" si="22"/>
        <v>9764679</v>
      </c>
      <c r="M133" s="247">
        <f>E133+F133+J133+K133+L133</f>
        <v>109176004</v>
      </c>
    </row>
    <row r="134" spans="1:8" ht="11.25" hidden="1">
      <c r="A134" s="406"/>
      <c r="B134" s="407" t="s">
        <v>43</v>
      </c>
      <c r="C134" s="408"/>
      <c r="D134" s="408"/>
      <c r="E134" s="39"/>
      <c r="G134" s="265" t="str">
        <f>IF(E66-E133&gt;0,"kiadáshoz kell","kiadásból elvenni")</f>
        <v>kiadásból elvenni</v>
      </c>
      <c r="H134" s="266">
        <f>E66-E133</f>
        <v>0</v>
      </c>
    </row>
    <row r="135" spans="1:5" ht="11.25" hidden="1">
      <c r="A135" s="409"/>
      <c r="B135" s="410" t="s">
        <v>192</v>
      </c>
      <c r="C135" s="411"/>
      <c r="D135" s="411"/>
      <c r="E135" s="412"/>
    </row>
    <row r="136" spans="1:5" ht="12" hidden="1" thickBot="1">
      <c r="A136" s="391"/>
      <c r="B136" s="397" t="s">
        <v>193</v>
      </c>
      <c r="C136" s="398">
        <v>0</v>
      </c>
      <c r="D136" s="398">
        <v>0</v>
      </c>
      <c r="E136" s="413">
        <v>0</v>
      </c>
    </row>
    <row r="138" spans="7:8" ht="11.25">
      <c r="G138" s="265" t="str">
        <f>IF(E66-E133&gt;0,"B&gt;K","K&gt;B")</f>
        <v>K&gt;B</v>
      </c>
      <c r="H138" s="266">
        <f>E66-E133</f>
        <v>0</v>
      </c>
    </row>
    <row r="139" spans="2:13" ht="11.25">
      <c r="B139" s="265" t="s">
        <v>382</v>
      </c>
      <c r="E139" s="266">
        <f>E133-E66</f>
        <v>0</v>
      </c>
      <c r="F139" s="266">
        <f aca="true" t="shared" si="23" ref="F139:K139">F133-F66</f>
        <v>0</v>
      </c>
      <c r="G139" s="266">
        <f t="shared" si="23"/>
        <v>0</v>
      </c>
      <c r="H139" s="266">
        <f t="shared" si="23"/>
        <v>-18550209</v>
      </c>
      <c r="I139" s="266">
        <f t="shared" si="23"/>
        <v>0</v>
      </c>
      <c r="J139" s="266">
        <f t="shared" si="23"/>
        <v>0</v>
      </c>
      <c r="K139" s="266">
        <f t="shared" si="23"/>
        <v>0</v>
      </c>
      <c r="L139" s="266"/>
      <c r="M139" s="266">
        <f>M133-M66</f>
        <v>0</v>
      </c>
    </row>
  </sheetData>
  <sheetProtection/>
  <mergeCells count="4">
    <mergeCell ref="A3:M3"/>
    <mergeCell ref="A4:M4"/>
    <mergeCell ref="A71:M71"/>
    <mergeCell ref="A72:M7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O33" sqref="A1:O33"/>
    </sheetView>
  </sheetViews>
  <sheetFormatPr defaultColWidth="9.140625" defaultRowHeight="15"/>
  <cols>
    <col min="1" max="1" width="6.57421875" style="728" customWidth="1"/>
    <col min="2" max="2" width="24.421875" style="728" customWidth="1"/>
    <col min="3" max="3" width="8.7109375" style="793" bestFit="1" customWidth="1"/>
    <col min="4" max="4" width="7.8515625" style="793" bestFit="1" customWidth="1"/>
    <col min="5" max="6" width="8.7109375" style="793" bestFit="1" customWidth="1"/>
    <col min="7" max="7" width="7.8515625" style="793" bestFit="1" customWidth="1"/>
    <col min="8" max="9" width="8.421875" style="793" bestFit="1" customWidth="1"/>
    <col min="10" max="10" width="8.8515625" style="793" bestFit="1" customWidth="1"/>
    <col min="11" max="11" width="9.8515625" style="793" bestFit="1" customWidth="1"/>
    <col min="12" max="12" width="7.8515625" style="793" bestFit="1" customWidth="1"/>
    <col min="13" max="14" width="8.421875" style="793" bestFit="1" customWidth="1"/>
    <col min="15" max="15" width="10.140625" style="793" bestFit="1" customWidth="1"/>
    <col min="16" max="16384" width="9.140625" style="728" customWidth="1"/>
  </cols>
  <sheetData>
    <row r="1" spans="1:2" ht="11.25">
      <c r="A1" s="792">
        <f>'Átadott '!A1+1</f>
        <v>14</v>
      </c>
      <c r="B1" s="728" t="str">
        <f>Felhalmozási!B1</f>
        <v>. melléklet az 5/2017. (V. 26.) önkormányzati rendelethez</v>
      </c>
    </row>
    <row r="2" spans="1:15" ht="12.75">
      <c r="A2" s="879" t="s">
        <v>210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</row>
    <row r="3" spans="1:15" ht="12.75">
      <c r="A3" s="879" t="s">
        <v>401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</row>
    <row r="4" spans="1:15" ht="12.75">
      <c r="A4" s="879" t="s">
        <v>400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</row>
    <row r="5" spans="1:2" ht="11.25">
      <c r="A5" s="794"/>
      <c r="B5" s="794"/>
    </row>
    <row r="6" ht="12" thickBot="1">
      <c r="O6" s="729" t="s">
        <v>363</v>
      </c>
    </row>
    <row r="7" spans="1:15" ht="23.25" thickBot="1">
      <c r="A7" s="776" t="s">
        <v>391</v>
      </c>
      <c r="B7" s="730" t="s">
        <v>213</v>
      </c>
      <c r="C7" s="731" t="s">
        <v>228</v>
      </c>
      <c r="D7" s="731" t="s">
        <v>229</v>
      </c>
      <c r="E7" s="731" t="s">
        <v>230</v>
      </c>
      <c r="F7" s="731" t="s">
        <v>231</v>
      </c>
      <c r="G7" s="731" t="s">
        <v>232</v>
      </c>
      <c r="H7" s="731" t="s">
        <v>233</v>
      </c>
      <c r="I7" s="731" t="s">
        <v>234</v>
      </c>
      <c r="J7" s="731" t="s">
        <v>235</v>
      </c>
      <c r="K7" s="731" t="s">
        <v>236</v>
      </c>
      <c r="L7" s="731" t="s">
        <v>237</v>
      </c>
      <c r="M7" s="731" t="s">
        <v>238</v>
      </c>
      <c r="N7" s="795" t="s">
        <v>239</v>
      </c>
      <c r="O7" s="796" t="s">
        <v>4</v>
      </c>
    </row>
    <row r="8" spans="1:15" ht="22.5">
      <c r="A8" s="797" t="s">
        <v>240</v>
      </c>
      <c r="B8" s="798" t="s">
        <v>402</v>
      </c>
      <c r="C8" s="736">
        <v>6519583</v>
      </c>
      <c r="D8" s="737">
        <v>5519584</v>
      </c>
      <c r="E8" s="737">
        <v>6019583</v>
      </c>
      <c r="F8" s="799">
        <v>4990957</v>
      </c>
      <c r="G8" s="799">
        <v>4762504</v>
      </c>
      <c r="H8" s="799">
        <v>4945618</v>
      </c>
      <c r="I8" s="799">
        <v>6762747</v>
      </c>
      <c r="J8" s="799">
        <v>5940146</v>
      </c>
      <c r="K8" s="799">
        <v>5227814</v>
      </c>
      <c r="L8" s="799">
        <v>4948017</v>
      </c>
      <c r="M8" s="799">
        <v>5850458</v>
      </c>
      <c r="N8" s="800">
        <v>6828049</v>
      </c>
      <c r="O8" s="801">
        <f>SUM(C8:N8)</f>
        <v>68315060</v>
      </c>
    </row>
    <row r="9" spans="1:15" ht="22.5">
      <c r="A9" s="802" t="s">
        <v>242</v>
      </c>
      <c r="B9" s="803" t="s">
        <v>45</v>
      </c>
      <c r="C9" s="741">
        <v>42600</v>
      </c>
      <c r="D9" s="742"/>
      <c r="E9" s="742">
        <v>2378467</v>
      </c>
      <c r="F9" s="804">
        <v>2185500</v>
      </c>
      <c r="G9" s="804">
        <v>0</v>
      </c>
      <c r="H9" s="804">
        <v>0</v>
      </c>
      <c r="I9" s="804">
        <v>0</v>
      </c>
      <c r="J9" s="804">
        <v>15000000</v>
      </c>
      <c r="K9" s="804">
        <v>0</v>
      </c>
      <c r="L9" s="804">
        <v>391868</v>
      </c>
      <c r="M9" s="804">
        <v>1016000</v>
      </c>
      <c r="N9" s="786">
        <v>0</v>
      </c>
      <c r="O9" s="805">
        <f>SUM(C9:N9)</f>
        <v>21014435</v>
      </c>
    </row>
    <row r="10" spans="1:15" ht="11.25">
      <c r="A10" s="802" t="s">
        <v>244</v>
      </c>
      <c r="B10" s="803" t="s">
        <v>10</v>
      </c>
      <c r="C10" s="741">
        <v>128205</v>
      </c>
      <c r="D10" s="742">
        <v>145870</v>
      </c>
      <c r="E10" s="742">
        <v>710544</v>
      </c>
      <c r="F10" s="804">
        <v>164509</v>
      </c>
      <c r="G10" s="804">
        <v>235082</v>
      </c>
      <c r="H10" s="804">
        <v>245842</v>
      </c>
      <c r="I10" s="804">
        <v>221584</v>
      </c>
      <c r="J10" s="804">
        <v>1142914</v>
      </c>
      <c r="K10" s="804">
        <v>1195121</v>
      </c>
      <c r="L10" s="804">
        <v>788518</v>
      </c>
      <c r="M10" s="804">
        <v>206974</v>
      </c>
      <c r="N10" s="786">
        <v>386563</v>
      </c>
      <c r="O10" s="805">
        <f aca="true" t="shared" si="0" ref="O10:O15">SUM(C10:N10)</f>
        <v>5571726</v>
      </c>
    </row>
    <row r="11" spans="1:15" ht="11.25">
      <c r="A11" s="802" t="s">
        <v>246</v>
      </c>
      <c r="B11" s="803" t="s">
        <v>12</v>
      </c>
      <c r="C11" s="741">
        <v>65400</v>
      </c>
      <c r="D11" s="742">
        <v>200000</v>
      </c>
      <c r="E11" s="742">
        <v>130460</v>
      </c>
      <c r="F11" s="804">
        <v>38505</v>
      </c>
      <c r="G11" s="804">
        <v>73918</v>
      </c>
      <c r="H11" s="804">
        <v>474818</v>
      </c>
      <c r="I11" s="804">
        <v>56923</v>
      </c>
      <c r="J11" s="804">
        <v>132856</v>
      </c>
      <c r="K11" s="804">
        <v>290302</v>
      </c>
      <c r="L11" s="804">
        <v>147792</v>
      </c>
      <c r="M11" s="804">
        <v>212922</v>
      </c>
      <c r="N11" s="786">
        <v>314614</v>
      </c>
      <c r="O11" s="805">
        <f t="shared" si="0"/>
        <v>2138510</v>
      </c>
    </row>
    <row r="12" spans="1:15" ht="11.25">
      <c r="A12" s="802" t="s">
        <v>248</v>
      </c>
      <c r="B12" s="803" t="s">
        <v>15</v>
      </c>
      <c r="C12" s="741">
        <v>0</v>
      </c>
      <c r="D12" s="742">
        <v>0</v>
      </c>
      <c r="E12" s="742">
        <v>0</v>
      </c>
      <c r="F12" s="804">
        <v>0</v>
      </c>
      <c r="G12" s="804">
        <v>0</v>
      </c>
      <c r="H12" s="804"/>
      <c r="I12" s="804"/>
      <c r="J12" s="804"/>
      <c r="K12" s="804">
        <v>693720</v>
      </c>
      <c r="L12" s="804">
        <v>0</v>
      </c>
      <c r="M12" s="804">
        <v>800000</v>
      </c>
      <c r="N12" s="786">
        <v>631840</v>
      </c>
      <c r="O12" s="805">
        <f t="shared" si="0"/>
        <v>2125560</v>
      </c>
    </row>
    <row r="13" spans="1:15" ht="22.5">
      <c r="A13" s="802" t="s">
        <v>250</v>
      </c>
      <c r="B13" s="803" t="s">
        <v>17</v>
      </c>
      <c r="C13" s="741">
        <v>0</v>
      </c>
      <c r="D13" s="742">
        <v>0</v>
      </c>
      <c r="E13" s="742">
        <v>0</v>
      </c>
      <c r="F13" s="804">
        <v>0</v>
      </c>
      <c r="G13" s="804">
        <v>0</v>
      </c>
      <c r="H13" s="804"/>
      <c r="I13" s="804"/>
      <c r="J13" s="804"/>
      <c r="K13" s="804"/>
      <c r="L13" s="804"/>
      <c r="M13" s="804"/>
      <c r="N13" s="786"/>
      <c r="O13" s="805">
        <f t="shared" si="0"/>
        <v>0</v>
      </c>
    </row>
    <row r="14" spans="1:15" ht="22.5">
      <c r="A14" s="802" t="s">
        <v>252</v>
      </c>
      <c r="B14" s="803" t="s">
        <v>403</v>
      </c>
      <c r="C14" s="741">
        <v>0</v>
      </c>
      <c r="D14" s="742">
        <v>0</v>
      </c>
      <c r="E14" s="742">
        <v>0</v>
      </c>
      <c r="F14" s="804">
        <v>0</v>
      </c>
      <c r="G14" s="804">
        <v>0</v>
      </c>
      <c r="H14" s="804"/>
      <c r="I14" s="804"/>
      <c r="J14" s="804"/>
      <c r="K14" s="804"/>
      <c r="L14" s="804"/>
      <c r="M14" s="804"/>
      <c r="N14" s="786"/>
      <c r="O14" s="805">
        <f t="shared" si="0"/>
        <v>0</v>
      </c>
    </row>
    <row r="15" spans="1:15" ht="12" thickBot="1">
      <c r="A15" s="806" t="s">
        <v>254</v>
      </c>
      <c r="B15" s="807" t="s">
        <v>22</v>
      </c>
      <c r="C15" s="766">
        <v>972102</v>
      </c>
      <c r="D15" s="767">
        <v>972102</v>
      </c>
      <c r="E15" s="767">
        <v>972102</v>
      </c>
      <c r="F15" s="808">
        <v>11119917</v>
      </c>
      <c r="G15" s="808">
        <v>1376187</v>
      </c>
      <c r="H15" s="808">
        <v>1281187</v>
      </c>
      <c r="I15" s="808">
        <v>1077187</v>
      </c>
      <c r="J15" s="808">
        <v>1254607</v>
      </c>
      <c r="K15" s="808">
        <v>1011187</v>
      </c>
      <c r="L15" s="808">
        <v>1064649</v>
      </c>
      <c r="M15" s="808">
        <v>1324649</v>
      </c>
      <c r="N15" s="809">
        <v>2117649</v>
      </c>
      <c r="O15" s="805">
        <f t="shared" si="0"/>
        <v>24543525</v>
      </c>
    </row>
    <row r="16" spans="1:15" ht="12" thickBot="1">
      <c r="A16" s="810" t="s">
        <v>404</v>
      </c>
      <c r="B16" s="811" t="s">
        <v>25</v>
      </c>
      <c r="C16" s="755">
        <f>SUM(C8:C15)</f>
        <v>7727890</v>
      </c>
      <c r="D16" s="756">
        <f aca="true" t="shared" si="1" ref="D16:M16">SUM(D8:D15)</f>
        <v>6837556</v>
      </c>
      <c r="E16" s="756">
        <f t="shared" si="1"/>
        <v>10211156</v>
      </c>
      <c r="F16" s="756">
        <f t="shared" si="1"/>
        <v>18499388</v>
      </c>
      <c r="G16" s="756">
        <f t="shared" si="1"/>
        <v>6447691</v>
      </c>
      <c r="H16" s="756">
        <f t="shared" si="1"/>
        <v>6947465</v>
      </c>
      <c r="I16" s="756">
        <f t="shared" si="1"/>
        <v>8118441</v>
      </c>
      <c r="J16" s="756">
        <f t="shared" si="1"/>
        <v>23470523</v>
      </c>
      <c r="K16" s="756">
        <f t="shared" si="1"/>
        <v>8418144</v>
      </c>
      <c r="L16" s="756">
        <f t="shared" si="1"/>
        <v>7340844</v>
      </c>
      <c r="M16" s="756">
        <f t="shared" si="1"/>
        <v>9411003</v>
      </c>
      <c r="N16" s="757">
        <f>SUM(N8:N15)</f>
        <v>10278715</v>
      </c>
      <c r="O16" s="812">
        <f>SUM(C16:N16)</f>
        <v>123708816</v>
      </c>
    </row>
    <row r="17" spans="1:15" ht="12" thickBot="1">
      <c r="A17" s="813"/>
      <c r="B17" s="814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</row>
    <row r="18" spans="1:15" ht="11.25">
      <c r="A18" s="816" t="s">
        <v>258</v>
      </c>
      <c r="B18" s="817" t="s">
        <v>27</v>
      </c>
      <c r="C18" s="818">
        <v>3695911</v>
      </c>
      <c r="D18" s="819">
        <v>3651423</v>
      </c>
      <c r="E18" s="819">
        <v>3740500</v>
      </c>
      <c r="F18" s="820">
        <v>3756924</v>
      </c>
      <c r="G18" s="820">
        <v>3530296</v>
      </c>
      <c r="H18" s="820">
        <v>3700943</v>
      </c>
      <c r="I18" s="820">
        <v>3756739</v>
      </c>
      <c r="J18" s="820">
        <v>4070624</v>
      </c>
      <c r="K18" s="820">
        <v>3717666</v>
      </c>
      <c r="L18" s="820">
        <v>3931858</v>
      </c>
      <c r="M18" s="820">
        <v>3581780</v>
      </c>
      <c r="N18" s="821">
        <v>3133016</v>
      </c>
      <c r="O18" s="822">
        <f>SUM(C18:N18)</f>
        <v>44267680</v>
      </c>
    </row>
    <row r="19" spans="1:15" ht="11.25">
      <c r="A19" s="823" t="s">
        <v>260</v>
      </c>
      <c r="B19" s="824" t="s">
        <v>405</v>
      </c>
      <c r="C19" s="825">
        <v>640970</v>
      </c>
      <c r="D19" s="826">
        <v>635884</v>
      </c>
      <c r="E19" s="826">
        <v>646058</v>
      </c>
      <c r="F19" s="827">
        <v>621231</v>
      </c>
      <c r="G19" s="827">
        <v>600088</v>
      </c>
      <c r="H19" s="827">
        <v>616195</v>
      </c>
      <c r="I19" s="827">
        <v>634277</v>
      </c>
      <c r="J19" s="827">
        <v>690076</v>
      </c>
      <c r="K19" s="827">
        <v>640904</v>
      </c>
      <c r="L19" s="827">
        <v>630969</v>
      </c>
      <c r="M19" s="827">
        <v>638177</v>
      </c>
      <c r="N19" s="828">
        <v>564808</v>
      </c>
      <c r="O19" s="829">
        <f>SUM(C19:N19)</f>
        <v>7559637</v>
      </c>
    </row>
    <row r="20" spans="1:15" ht="11.25">
      <c r="A20" s="823" t="s">
        <v>262</v>
      </c>
      <c r="B20" s="824" t="s">
        <v>30</v>
      </c>
      <c r="C20" s="825">
        <v>276868</v>
      </c>
      <c r="D20" s="826">
        <v>285687</v>
      </c>
      <c r="E20" s="826">
        <v>328050</v>
      </c>
      <c r="F20" s="827">
        <v>693061</v>
      </c>
      <c r="G20" s="827">
        <v>1390330</v>
      </c>
      <c r="H20" s="827">
        <v>2551660</v>
      </c>
      <c r="I20" s="827">
        <v>3069849</v>
      </c>
      <c r="J20" s="827">
        <v>1551688</v>
      </c>
      <c r="K20" s="827">
        <v>1077771</v>
      </c>
      <c r="L20" s="827">
        <v>1795608</v>
      </c>
      <c r="M20" s="827">
        <v>1434834</v>
      </c>
      <c r="N20" s="828">
        <v>2508962</v>
      </c>
      <c r="O20" s="829">
        <f aca="true" t="shared" si="2" ref="O20:O28">SUM(C20:N20)</f>
        <v>16964368</v>
      </c>
    </row>
    <row r="21" spans="1:15" ht="11.25">
      <c r="A21" s="823" t="s">
        <v>264</v>
      </c>
      <c r="B21" s="824" t="s">
        <v>32</v>
      </c>
      <c r="C21" s="825">
        <v>20000</v>
      </c>
      <c r="D21" s="826">
        <v>0</v>
      </c>
      <c r="E21" s="826">
        <v>0</v>
      </c>
      <c r="F21" s="827">
        <v>40000</v>
      </c>
      <c r="G21" s="827">
        <v>30000</v>
      </c>
      <c r="H21" s="827">
        <v>20000</v>
      </c>
      <c r="I21" s="827">
        <v>0</v>
      </c>
      <c r="J21" s="827">
        <v>197200</v>
      </c>
      <c r="K21" s="827">
        <v>810000</v>
      </c>
      <c r="L21" s="827">
        <v>20000</v>
      </c>
      <c r="M21" s="827">
        <v>243800</v>
      </c>
      <c r="N21" s="828">
        <v>2120000</v>
      </c>
      <c r="O21" s="829">
        <f t="shared" si="2"/>
        <v>3501000</v>
      </c>
    </row>
    <row r="22" spans="1:15" ht="11.25">
      <c r="A22" s="823" t="s">
        <v>266</v>
      </c>
      <c r="B22" s="824" t="s">
        <v>170</v>
      </c>
      <c r="C22" s="825">
        <v>229355</v>
      </c>
      <c r="D22" s="826">
        <v>47520</v>
      </c>
      <c r="E22" s="826">
        <v>300000</v>
      </c>
      <c r="F22" s="827">
        <v>1174876</v>
      </c>
      <c r="G22" s="827">
        <v>161921</v>
      </c>
      <c r="H22" s="827">
        <v>0</v>
      </c>
      <c r="I22" s="827">
        <v>0</v>
      </c>
      <c r="J22" s="827">
        <v>255000</v>
      </c>
      <c r="K22" s="827">
        <v>0</v>
      </c>
      <c r="L22" s="827">
        <v>0</v>
      </c>
      <c r="M22" s="827">
        <v>47520</v>
      </c>
      <c r="N22" s="828">
        <v>484899</v>
      </c>
      <c r="O22" s="829">
        <f t="shared" si="2"/>
        <v>2701091</v>
      </c>
    </row>
    <row r="23" spans="1:15" ht="11.25" hidden="1">
      <c r="A23" s="823"/>
      <c r="B23" s="824" t="s">
        <v>406</v>
      </c>
      <c r="C23" s="825"/>
      <c r="D23" s="826"/>
      <c r="E23" s="826"/>
      <c r="F23" s="827"/>
      <c r="G23" s="827"/>
      <c r="H23" s="827"/>
      <c r="I23" s="827"/>
      <c r="J23" s="827"/>
      <c r="K23" s="827"/>
      <c r="L23" s="827"/>
      <c r="M23" s="827"/>
      <c r="N23" s="828"/>
      <c r="O23" s="829">
        <f t="shared" si="2"/>
        <v>0</v>
      </c>
    </row>
    <row r="24" spans="1:15" ht="7.5" customHeight="1" hidden="1">
      <c r="A24" s="823"/>
      <c r="B24" s="824" t="s">
        <v>407</v>
      </c>
      <c r="C24" s="825"/>
      <c r="D24" s="826"/>
      <c r="E24" s="826"/>
      <c r="F24" s="827"/>
      <c r="G24" s="827"/>
      <c r="H24" s="827"/>
      <c r="I24" s="827"/>
      <c r="J24" s="827"/>
      <c r="K24" s="827"/>
      <c r="L24" s="827"/>
      <c r="M24" s="827"/>
      <c r="N24" s="828"/>
      <c r="O24" s="829">
        <f t="shared" si="2"/>
        <v>0</v>
      </c>
    </row>
    <row r="25" spans="1:15" ht="11.25">
      <c r="A25" s="823" t="s">
        <v>270</v>
      </c>
      <c r="B25" s="824" t="s">
        <v>35</v>
      </c>
      <c r="C25" s="825">
        <v>0</v>
      </c>
      <c r="D25" s="826">
        <v>34565</v>
      </c>
      <c r="E25" s="826">
        <v>0</v>
      </c>
      <c r="F25" s="827">
        <v>0</v>
      </c>
      <c r="G25" s="827">
        <v>97768</v>
      </c>
      <c r="H25" s="827">
        <v>44450</v>
      </c>
      <c r="I25" s="827">
        <v>1113728</v>
      </c>
      <c r="J25" s="827">
        <v>174570</v>
      </c>
      <c r="K25" s="827">
        <v>2617342</v>
      </c>
      <c r="L25" s="827">
        <v>0</v>
      </c>
      <c r="M25" s="827">
        <v>162430</v>
      </c>
      <c r="N25" s="828">
        <v>354584</v>
      </c>
      <c r="O25" s="829">
        <f t="shared" si="2"/>
        <v>4599437</v>
      </c>
    </row>
    <row r="26" spans="1:15" ht="11.25">
      <c r="A26" s="823" t="s">
        <v>271</v>
      </c>
      <c r="B26" s="824" t="s">
        <v>37</v>
      </c>
      <c r="C26" s="825">
        <v>0</v>
      </c>
      <c r="D26" s="826">
        <v>0</v>
      </c>
      <c r="E26" s="826"/>
      <c r="F26" s="827"/>
      <c r="G26" s="827"/>
      <c r="H26" s="827"/>
      <c r="I26" s="827"/>
      <c r="J26" s="827"/>
      <c r="K26" s="827"/>
      <c r="L26" s="827"/>
      <c r="M26" s="827"/>
      <c r="N26" s="828"/>
      <c r="O26" s="829">
        <f t="shared" si="2"/>
        <v>0</v>
      </c>
    </row>
    <row r="27" spans="1:15" ht="11.25">
      <c r="A27" s="823" t="s">
        <v>408</v>
      </c>
      <c r="B27" s="824" t="s">
        <v>182</v>
      </c>
      <c r="C27" s="825">
        <v>0</v>
      </c>
      <c r="D27" s="826">
        <v>0</v>
      </c>
      <c r="E27" s="826">
        <v>0</v>
      </c>
      <c r="F27" s="827"/>
      <c r="G27" s="827"/>
      <c r="H27" s="827"/>
      <c r="I27" s="827"/>
      <c r="J27" s="827"/>
      <c r="K27" s="827"/>
      <c r="L27" s="827"/>
      <c r="M27" s="827"/>
      <c r="N27" s="828"/>
      <c r="O27" s="829">
        <f t="shared" si="2"/>
        <v>0</v>
      </c>
    </row>
    <row r="28" spans="1:15" ht="12" thickBot="1">
      <c r="A28" s="830" t="s">
        <v>272</v>
      </c>
      <c r="B28" s="831" t="s">
        <v>41</v>
      </c>
      <c r="C28" s="832">
        <f>972102+912707</f>
        <v>1884809</v>
      </c>
      <c r="D28" s="833">
        <v>972102</v>
      </c>
      <c r="E28" s="833">
        <v>972102</v>
      </c>
      <c r="F28" s="834">
        <v>901187</v>
      </c>
      <c r="G28" s="834">
        <v>1376187</v>
      </c>
      <c r="H28" s="834">
        <v>1416187</v>
      </c>
      <c r="I28" s="834">
        <v>1077187</v>
      </c>
      <c r="J28" s="834">
        <v>1254607</v>
      </c>
      <c r="K28" s="834">
        <v>1146187</v>
      </c>
      <c r="L28" s="834">
        <v>1064649</v>
      </c>
      <c r="M28" s="834">
        <v>1324649</v>
      </c>
      <c r="N28" s="835">
        <v>1269649</v>
      </c>
      <c r="O28" s="829">
        <f t="shared" si="2"/>
        <v>14659502</v>
      </c>
    </row>
    <row r="29" spans="1:15" ht="12" thickBot="1">
      <c r="A29" s="836" t="s">
        <v>409</v>
      </c>
      <c r="B29" s="837" t="s">
        <v>43</v>
      </c>
      <c r="C29" s="838">
        <f>SUM(C18:C22,C25:C28)</f>
        <v>6747913</v>
      </c>
      <c r="D29" s="839">
        <f aca="true" t="shared" si="3" ref="D29:N29">SUM(D18:D22,D25:D28)</f>
        <v>5627181</v>
      </c>
      <c r="E29" s="839">
        <f t="shared" si="3"/>
        <v>5986710</v>
      </c>
      <c r="F29" s="839">
        <f t="shared" si="3"/>
        <v>7187279</v>
      </c>
      <c r="G29" s="839">
        <f t="shared" si="3"/>
        <v>7186590</v>
      </c>
      <c r="H29" s="839">
        <f t="shared" si="3"/>
        <v>8349435</v>
      </c>
      <c r="I29" s="839">
        <f t="shared" si="3"/>
        <v>9651780</v>
      </c>
      <c r="J29" s="839">
        <f t="shared" si="3"/>
        <v>8193765</v>
      </c>
      <c r="K29" s="839">
        <f t="shared" si="3"/>
        <v>10009870</v>
      </c>
      <c r="L29" s="839">
        <f t="shared" si="3"/>
        <v>7443084</v>
      </c>
      <c r="M29" s="839">
        <f t="shared" si="3"/>
        <v>7433190</v>
      </c>
      <c r="N29" s="840">
        <f t="shared" si="3"/>
        <v>10435918</v>
      </c>
      <c r="O29" s="841">
        <f>SUM(C29:N29)</f>
        <v>94252715</v>
      </c>
    </row>
    <row r="30" spans="2:15" ht="12" thickBot="1">
      <c r="B30" s="814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</row>
    <row r="31" spans="1:15" ht="12" thickBot="1">
      <c r="A31" s="836"/>
      <c r="B31" s="811" t="s">
        <v>192</v>
      </c>
      <c r="C31" s="843">
        <f aca="true" t="shared" si="4" ref="C31:N31">C16-C29</f>
        <v>979977</v>
      </c>
      <c r="D31" s="843">
        <f t="shared" si="4"/>
        <v>1210375</v>
      </c>
      <c r="E31" s="843">
        <f t="shared" si="4"/>
        <v>4224446</v>
      </c>
      <c r="F31" s="843">
        <f t="shared" si="4"/>
        <v>11312109</v>
      </c>
      <c r="G31" s="843">
        <f t="shared" si="4"/>
        <v>-738899</v>
      </c>
      <c r="H31" s="843">
        <f t="shared" si="4"/>
        <v>-1401970</v>
      </c>
      <c r="I31" s="843">
        <f t="shared" si="4"/>
        <v>-1533339</v>
      </c>
      <c r="J31" s="843">
        <f t="shared" si="4"/>
        <v>15276758</v>
      </c>
      <c r="K31" s="843">
        <f t="shared" si="4"/>
        <v>-1591726</v>
      </c>
      <c r="L31" s="843">
        <f t="shared" si="4"/>
        <v>-102240</v>
      </c>
      <c r="M31" s="843">
        <f t="shared" si="4"/>
        <v>1977813</v>
      </c>
      <c r="N31" s="843">
        <f t="shared" si="4"/>
        <v>-157203</v>
      </c>
      <c r="O31" s="841">
        <f>SUM(C31:N31)</f>
        <v>29456101</v>
      </c>
    </row>
    <row r="32" spans="3:15" ht="11.25"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815"/>
      <c r="O32" s="815"/>
    </row>
    <row r="33" spans="3:15" ht="11.25"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</row>
  </sheetData>
  <sheetProtection/>
  <mergeCells count="3">
    <mergeCell ref="A2:O2"/>
    <mergeCell ref="A3:O3"/>
    <mergeCell ref="A4:O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D30" sqref="A1:D30"/>
    </sheetView>
  </sheetViews>
  <sheetFormatPr defaultColWidth="9.140625" defaultRowHeight="15"/>
  <cols>
    <col min="1" max="1" width="9.140625" style="265" customWidth="1"/>
    <col min="2" max="2" width="45.8515625" style="265" bestFit="1" customWidth="1"/>
    <col min="3" max="3" width="14.421875" style="265" bestFit="1" customWidth="1"/>
    <col min="4" max="4" width="16.7109375" style="265" bestFit="1" customWidth="1"/>
    <col min="5" max="5" width="15.57421875" style="265" bestFit="1" customWidth="1"/>
    <col min="6" max="6" width="8.8515625" style="265" bestFit="1" customWidth="1"/>
    <col min="7" max="8" width="9.140625" style="265" customWidth="1"/>
    <col min="9" max="16384" width="9.140625" style="265" customWidth="1"/>
  </cols>
  <sheetData>
    <row r="1" spans="1:6" ht="11.25">
      <c r="A1" s="277">
        <f>'Pénzeszköz változás'!A1+1</f>
        <v>15</v>
      </c>
      <c r="B1" s="277" t="str">
        <f>'Pénzeszköz változás'!B1</f>
        <v>. melléklet az 5/2017. (V. 26.) önkormányzati rendelethez</v>
      </c>
      <c r="C1" s="277"/>
      <c r="D1" s="277"/>
      <c r="E1" s="277"/>
      <c r="F1" s="277"/>
    </row>
    <row r="2" spans="1:6" ht="11.25">
      <c r="A2" s="277"/>
      <c r="B2" s="277"/>
      <c r="C2" s="277"/>
      <c r="D2" s="277"/>
      <c r="E2" s="277"/>
      <c r="F2" s="277"/>
    </row>
    <row r="3" spans="1:6" s="508" customFormat="1" ht="11.25">
      <c r="A3" s="906" t="s">
        <v>210</v>
      </c>
      <c r="B3" s="906"/>
      <c r="C3" s="906"/>
      <c r="D3" s="906"/>
      <c r="E3" s="526"/>
      <c r="F3" s="526"/>
    </row>
    <row r="4" spans="1:9" ht="11.25">
      <c r="A4" s="907" t="s">
        <v>410</v>
      </c>
      <c r="B4" s="907"/>
      <c r="C4" s="907"/>
      <c r="D4" s="907"/>
      <c r="E4" s="509"/>
      <c r="F4" s="509"/>
      <c r="G4" s="509"/>
      <c r="H4" s="509"/>
      <c r="I4" s="255"/>
    </row>
    <row r="5" spans="1:9" ht="11.25">
      <c r="A5" s="907" t="s">
        <v>400</v>
      </c>
      <c r="B5" s="907"/>
      <c r="C5" s="907"/>
      <c r="D5" s="907"/>
      <c r="E5" s="509"/>
      <c r="F5" s="509"/>
      <c r="G5" s="509"/>
      <c r="H5" s="509"/>
      <c r="I5" s="255"/>
    </row>
    <row r="6" spans="1:9" ht="11.25">
      <c r="A6" s="510"/>
      <c r="B6" s="510"/>
      <c r="C6" s="510"/>
      <c r="D6" s="510"/>
      <c r="E6" s="510"/>
      <c r="F6" s="510"/>
      <c r="G6" s="509"/>
      <c r="H6" s="509"/>
      <c r="I6" s="255"/>
    </row>
    <row r="7" spans="1:9" ht="12" thickBot="1">
      <c r="A7" s="511"/>
      <c r="B7" s="511"/>
      <c r="C7" s="511"/>
      <c r="D7" s="527" t="s">
        <v>363</v>
      </c>
      <c r="E7" s="511"/>
      <c r="F7" s="276"/>
      <c r="G7" s="511"/>
      <c r="H7" s="511"/>
      <c r="I7" s="255"/>
    </row>
    <row r="8" spans="1:6" ht="11.25">
      <c r="A8" s="908" t="s">
        <v>274</v>
      </c>
      <c r="B8" s="910" t="s">
        <v>213</v>
      </c>
      <c r="C8" s="912" t="s">
        <v>411</v>
      </c>
      <c r="D8" s="913"/>
      <c r="E8" s="509"/>
      <c r="F8" s="509"/>
    </row>
    <row r="9" spans="1:4" ht="12" thickBot="1">
      <c r="A9" s="909"/>
      <c r="B9" s="911"/>
      <c r="C9" s="528" t="s">
        <v>412</v>
      </c>
      <c r="D9" s="553" t="s">
        <v>798</v>
      </c>
    </row>
    <row r="10" spans="1:4" ht="11.25">
      <c r="A10" s="512" t="s">
        <v>413</v>
      </c>
      <c r="B10" s="513" t="s">
        <v>414</v>
      </c>
      <c r="C10" s="514">
        <v>99143665</v>
      </c>
      <c r="D10" s="554">
        <v>21626</v>
      </c>
    </row>
    <row r="11" spans="1:4" ht="12" thickBot="1">
      <c r="A11" s="515" t="s">
        <v>415</v>
      </c>
      <c r="B11" s="516" t="s">
        <v>416</v>
      </c>
      <c r="C11" s="517">
        <v>66231906</v>
      </c>
      <c r="D11" s="555">
        <v>13361307</v>
      </c>
    </row>
    <row r="12" spans="1:4" ht="12" thickBot="1">
      <c r="A12" s="518" t="s">
        <v>319</v>
      </c>
      <c r="B12" s="519" t="s">
        <v>417</v>
      </c>
      <c r="C12" s="376">
        <f>C10-C11</f>
        <v>32911759</v>
      </c>
      <c r="D12" s="377">
        <f>D10-D11</f>
        <v>-13339681</v>
      </c>
    </row>
    <row r="13" spans="1:4" ht="11.25">
      <c r="A13" s="512" t="s">
        <v>418</v>
      </c>
      <c r="B13" s="513" t="s">
        <v>419</v>
      </c>
      <c r="C13" s="514">
        <v>11197195</v>
      </c>
      <c r="D13" s="556">
        <v>13346330</v>
      </c>
    </row>
    <row r="14" spans="1:4" ht="12" thickBot="1">
      <c r="A14" s="515" t="s">
        <v>420</v>
      </c>
      <c r="B14" s="516" t="s">
        <v>421</v>
      </c>
      <c r="C14" s="517">
        <v>14659502</v>
      </c>
      <c r="D14" s="557">
        <v>0</v>
      </c>
    </row>
    <row r="15" spans="1:4" ht="12" thickBot="1">
      <c r="A15" s="518" t="s">
        <v>320</v>
      </c>
      <c r="B15" s="519" t="s">
        <v>422</v>
      </c>
      <c r="C15" s="376">
        <f>C13-C14</f>
        <v>-3462307</v>
      </c>
      <c r="D15" s="377">
        <f>D13-D14</f>
        <v>13346330</v>
      </c>
    </row>
    <row r="16" spans="1:4" ht="12" thickBot="1">
      <c r="A16" s="520" t="s">
        <v>423</v>
      </c>
      <c r="B16" s="521" t="s">
        <v>424</v>
      </c>
      <c r="C16" s="522">
        <f>C12+C15</f>
        <v>29449452</v>
      </c>
      <c r="D16" s="558">
        <f>D12+D15</f>
        <v>6649</v>
      </c>
    </row>
    <row r="17" spans="1:4" ht="11.25">
      <c r="A17" s="512" t="s">
        <v>425</v>
      </c>
      <c r="B17" s="513" t="s">
        <v>426</v>
      </c>
      <c r="C17" s="514">
        <v>0</v>
      </c>
      <c r="D17" s="554">
        <v>0</v>
      </c>
    </row>
    <row r="18" spans="1:4" ht="12" thickBot="1">
      <c r="A18" s="515" t="s">
        <v>427</v>
      </c>
      <c r="B18" s="516" t="s">
        <v>428</v>
      </c>
      <c r="C18" s="517">
        <v>0</v>
      </c>
      <c r="D18" s="557">
        <v>0</v>
      </c>
    </row>
    <row r="19" spans="1:4" ht="12" thickBot="1">
      <c r="A19" s="518" t="s">
        <v>429</v>
      </c>
      <c r="B19" s="519" t="s">
        <v>430</v>
      </c>
      <c r="C19" s="523">
        <v>0</v>
      </c>
      <c r="D19" s="559">
        <v>0</v>
      </c>
    </row>
    <row r="20" spans="1:4" ht="11.25">
      <c r="A20" s="512" t="s">
        <v>431</v>
      </c>
      <c r="B20" s="513" t="s">
        <v>432</v>
      </c>
      <c r="C20" s="514">
        <v>0</v>
      </c>
      <c r="D20" s="554">
        <v>0</v>
      </c>
    </row>
    <row r="21" spans="1:4" ht="12" thickBot="1">
      <c r="A21" s="515" t="s">
        <v>433</v>
      </c>
      <c r="B21" s="516" t="s">
        <v>434</v>
      </c>
      <c r="C21" s="517">
        <v>0</v>
      </c>
      <c r="D21" s="557">
        <v>0</v>
      </c>
    </row>
    <row r="22" spans="1:4" ht="12" thickBot="1">
      <c r="A22" s="518" t="s">
        <v>435</v>
      </c>
      <c r="B22" s="519" t="s">
        <v>436</v>
      </c>
      <c r="C22" s="523">
        <v>0</v>
      </c>
      <c r="D22" s="559">
        <v>0</v>
      </c>
    </row>
    <row r="23" spans="1:4" ht="12" thickBot="1">
      <c r="A23" s="518" t="s">
        <v>437</v>
      </c>
      <c r="B23" s="519" t="s">
        <v>438</v>
      </c>
      <c r="C23" s="523">
        <v>0</v>
      </c>
      <c r="D23" s="559">
        <v>0</v>
      </c>
    </row>
    <row r="24" spans="1:7" ht="12" thickBot="1">
      <c r="A24" s="518" t="s">
        <v>439</v>
      </c>
      <c r="B24" s="519" t="s">
        <v>440</v>
      </c>
      <c r="C24" s="523">
        <f>C16+C23</f>
        <v>29449452</v>
      </c>
      <c r="D24" s="560">
        <f>D16+D23</f>
        <v>6649</v>
      </c>
      <c r="E24" s="266"/>
      <c r="F24" s="266"/>
      <c r="G24" s="266"/>
    </row>
    <row r="25" spans="1:4" ht="12" thickBot="1">
      <c r="A25" s="518" t="s">
        <v>441</v>
      </c>
      <c r="B25" s="519" t="s">
        <v>442</v>
      </c>
      <c r="C25" s="523">
        <v>17947059</v>
      </c>
      <c r="D25" s="559">
        <v>0</v>
      </c>
    </row>
    <row r="26" spans="1:5" ht="12" thickBot="1">
      <c r="A26" s="518" t="s">
        <v>443</v>
      </c>
      <c r="B26" s="519" t="s">
        <v>444</v>
      </c>
      <c r="C26" s="523">
        <f>C16-C25</f>
        <v>11502393</v>
      </c>
      <c r="D26" s="377">
        <f>D16-D25</f>
        <v>6649</v>
      </c>
      <c r="E26" s="266"/>
    </row>
    <row r="27" spans="1:4" ht="12" thickBot="1">
      <c r="A27" s="518" t="s">
        <v>445</v>
      </c>
      <c r="B27" s="519" t="s">
        <v>446</v>
      </c>
      <c r="C27" s="523">
        <v>0</v>
      </c>
      <c r="D27" s="559">
        <v>0</v>
      </c>
    </row>
    <row r="28" spans="1:6" ht="12" thickBot="1">
      <c r="A28" s="518" t="s">
        <v>447</v>
      </c>
      <c r="B28" s="519" t="s">
        <v>448</v>
      </c>
      <c r="C28" s="523">
        <v>0</v>
      </c>
      <c r="D28" s="559">
        <v>0</v>
      </c>
      <c r="F28" s="255"/>
    </row>
    <row r="29" spans="3:6" ht="11.25">
      <c r="C29" s="524"/>
      <c r="D29" s="277"/>
      <c r="E29" s="524"/>
      <c r="F29" s="525"/>
    </row>
    <row r="30" spans="3:6" ht="11.25">
      <c r="C30" s="524"/>
      <c r="D30" s="277"/>
      <c r="E30" s="524"/>
      <c r="F30" s="524"/>
    </row>
    <row r="31" spans="3:6" ht="11.25">
      <c r="C31" s="524"/>
      <c r="D31" s="277"/>
      <c r="E31" s="524"/>
      <c r="F31" s="524"/>
    </row>
    <row r="32" spans="3:6" ht="11.25">
      <c r="C32" s="524"/>
      <c r="D32" s="277"/>
      <c r="E32" s="524"/>
      <c r="F32" s="524"/>
    </row>
    <row r="33" spans="3:6" ht="11.25">
      <c r="C33" s="524"/>
      <c r="D33" s="277"/>
      <c r="E33" s="524"/>
      <c r="F33" s="524"/>
    </row>
    <row r="34" spans="3:6" ht="11.25">
      <c r="C34" s="524"/>
      <c r="D34" s="277"/>
      <c r="E34" s="524"/>
      <c r="F34" s="524"/>
    </row>
    <row r="35" spans="3:6" ht="11.25">
      <c r="C35" s="524"/>
      <c r="D35" s="277"/>
      <c r="E35" s="524"/>
      <c r="F35" s="524"/>
    </row>
    <row r="36" spans="3:4" ht="11.25">
      <c r="C36" s="524"/>
      <c r="D36" s="277"/>
    </row>
  </sheetData>
  <sheetProtection/>
  <mergeCells count="6">
    <mergeCell ref="A3:D3"/>
    <mergeCell ref="A4:D4"/>
    <mergeCell ref="A5:D5"/>
    <mergeCell ref="A8:A9"/>
    <mergeCell ref="B8:B9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4" sqref="A1:D14"/>
    </sheetView>
  </sheetViews>
  <sheetFormatPr defaultColWidth="11.57421875" defaultRowHeight="15"/>
  <cols>
    <col min="1" max="1" width="26.28125" style="0" bestFit="1" customWidth="1"/>
    <col min="2" max="2" width="15.28125" style="0" customWidth="1"/>
    <col min="3" max="3" width="12.57421875" style="0" customWidth="1"/>
    <col min="4" max="4" width="16.8515625" style="0" customWidth="1"/>
  </cols>
  <sheetData>
    <row r="1" spans="1:2" ht="15">
      <c r="A1">
        <f>Maradvány!A1+1</f>
        <v>16</v>
      </c>
      <c r="B1" t="str">
        <f>Maradvány!B1</f>
        <v>. melléklet az 5/2017. (V. 26.) önkormányzati rendelethez</v>
      </c>
    </row>
    <row r="3" spans="1:4" ht="15.75">
      <c r="A3" s="914" t="s">
        <v>473</v>
      </c>
      <c r="B3" s="914"/>
      <c r="C3" s="914"/>
      <c r="D3" s="914"/>
    </row>
    <row r="4" spans="1:4" ht="15.75">
      <c r="A4" s="914" t="s">
        <v>782</v>
      </c>
      <c r="B4" s="914"/>
      <c r="C4" s="914"/>
      <c r="D4" s="914"/>
    </row>
    <row r="5" spans="1:4" ht="15.75">
      <c r="A5" s="914" t="s">
        <v>400</v>
      </c>
      <c r="B5" s="914"/>
      <c r="C5" s="914"/>
      <c r="D5" s="914"/>
    </row>
    <row r="6" spans="1:4" ht="15.75">
      <c r="A6" s="726"/>
      <c r="B6" s="726"/>
      <c r="C6" s="726"/>
      <c r="D6" s="726"/>
    </row>
    <row r="7" spans="1:4" ht="16.5" thickBot="1">
      <c r="A7" s="713"/>
      <c r="B7" s="714" t="s">
        <v>5</v>
      </c>
      <c r="C7" s="714" t="s">
        <v>5</v>
      </c>
      <c r="D7" s="714"/>
    </row>
    <row r="8" spans="1:4" ht="29.25" customHeight="1">
      <c r="A8" s="715" t="s">
        <v>783</v>
      </c>
      <c r="B8" s="716" t="s">
        <v>784</v>
      </c>
      <c r="C8" s="716" t="s">
        <v>785</v>
      </c>
      <c r="D8" s="717" t="s">
        <v>786</v>
      </c>
    </row>
    <row r="9" spans="1:4" ht="15">
      <c r="A9" s="718" t="s">
        <v>787</v>
      </c>
      <c r="B9" s="719">
        <v>10</v>
      </c>
      <c r="C9" s="719">
        <v>10</v>
      </c>
      <c r="D9" s="720">
        <f>C9/C12</f>
        <v>0.3333333333333333</v>
      </c>
    </row>
    <row r="10" spans="1:4" ht="15">
      <c r="A10" s="718" t="s">
        <v>788</v>
      </c>
      <c r="B10" s="719">
        <v>10</v>
      </c>
      <c r="C10" s="719">
        <v>10</v>
      </c>
      <c r="D10" s="720">
        <f>B10/B12</f>
        <v>0.3333333333333333</v>
      </c>
    </row>
    <row r="11" spans="1:4" ht="15">
      <c r="A11" s="718" t="s">
        <v>789</v>
      </c>
      <c r="B11" s="719">
        <v>10</v>
      </c>
      <c r="C11" s="719">
        <v>10</v>
      </c>
      <c r="D11" s="720">
        <f>B11/$B$12</f>
        <v>0.3333333333333333</v>
      </c>
    </row>
    <row r="12" spans="1:4" ht="17.25" customHeight="1" thickBot="1">
      <c r="A12" s="721" t="s">
        <v>790</v>
      </c>
      <c r="B12" s="722">
        <f>SUM(B9:B11)</f>
        <v>30</v>
      </c>
      <c r="C12" s="722">
        <f>SUM(C9:C11)</f>
        <v>30</v>
      </c>
      <c r="D12" s="723">
        <f>C12/B12</f>
        <v>1</v>
      </c>
    </row>
    <row r="13" spans="1:4" ht="15">
      <c r="A13" s="724"/>
      <c r="B13" s="724"/>
      <c r="C13" s="724"/>
      <c r="D13" s="724"/>
    </row>
    <row r="14" spans="1:4" ht="15">
      <c r="A14" s="724"/>
      <c r="B14" s="724"/>
      <c r="C14" s="724"/>
      <c r="D14" s="724"/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32.421875" style="265" bestFit="1" customWidth="1"/>
    <col min="2" max="2" width="10.8515625" style="265" customWidth="1"/>
    <col min="3" max="3" width="11.57421875" style="265" customWidth="1"/>
    <col min="4" max="4" width="9.57421875" style="265" bestFit="1" customWidth="1"/>
    <col min="5" max="5" width="9.140625" style="265" customWidth="1"/>
    <col min="6" max="6" width="26.7109375" style="265" bestFit="1" customWidth="1"/>
    <col min="7" max="7" width="10.00390625" style="265" customWidth="1"/>
    <col min="8" max="8" width="9.8515625" style="265" customWidth="1"/>
    <col min="9" max="16384" width="9.140625" style="265" customWidth="1"/>
  </cols>
  <sheetData>
    <row r="1" spans="1:2" ht="11.25">
      <c r="A1" s="68">
        <v>1</v>
      </c>
      <c r="B1" s="265" t="s">
        <v>799</v>
      </c>
    </row>
    <row r="2" ht="11.25">
      <c r="A2" s="68"/>
    </row>
    <row r="3" spans="1:15" ht="15" customHeight="1">
      <c r="A3" s="857" t="s">
        <v>198</v>
      </c>
      <c r="B3" s="857"/>
      <c r="C3" s="857"/>
      <c r="D3" s="857"/>
      <c r="E3" s="857"/>
      <c r="F3" s="857"/>
      <c r="G3" s="857"/>
      <c r="H3" s="857"/>
      <c r="I3" s="857"/>
      <c r="J3" s="774"/>
      <c r="K3" s="774"/>
      <c r="L3" s="774"/>
      <c r="M3" s="774"/>
      <c r="N3" s="774"/>
      <c r="O3" s="774"/>
    </row>
    <row r="4" spans="1:15" ht="11.25">
      <c r="A4" s="857" t="s">
        <v>400</v>
      </c>
      <c r="B4" s="857"/>
      <c r="C4" s="857"/>
      <c r="D4" s="857"/>
      <c r="E4" s="857"/>
      <c r="F4" s="857"/>
      <c r="G4" s="857"/>
      <c r="H4" s="857"/>
      <c r="I4" s="857"/>
      <c r="J4" s="774"/>
      <c r="K4" s="774"/>
      <c r="L4" s="774"/>
      <c r="M4" s="774"/>
      <c r="N4" s="774"/>
      <c r="O4" s="774"/>
    </row>
    <row r="6" spans="1:9" ht="12" thickBot="1">
      <c r="A6" s="727" t="s">
        <v>337</v>
      </c>
      <c r="B6" s="728"/>
      <c r="C6" s="728"/>
      <c r="D6" s="729"/>
      <c r="E6" s="728"/>
      <c r="F6" s="727" t="s">
        <v>338</v>
      </c>
      <c r="G6" s="728"/>
      <c r="H6" s="728"/>
      <c r="I6" s="729"/>
    </row>
    <row r="7" spans="1:9" ht="23.25" thickBot="1">
      <c r="A7" s="730" t="s">
        <v>1</v>
      </c>
      <c r="B7" s="731" t="s">
        <v>322</v>
      </c>
      <c r="C7" s="732" t="s">
        <v>359</v>
      </c>
      <c r="D7" s="733" t="s">
        <v>398</v>
      </c>
      <c r="E7" s="728"/>
      <c r="F7" s="734" t="s">
        <v>1</v>
      </c>
      <c r="G7" s="731" t="s">
        <v>322</v>
      </c>
      <c r="H7" s="732" t="s">
        <v>359</v>
      </c>
      <c r="I7" s="733" t="s">
        <v>398</v>
      </c>
    </row>
    <row r="8" spans="1:9" ht="11.25">
      <c r="A8" s="735" t="s">
        <v>402</v>
      </c>
      <c r="B8" s="736">
        <v>26072000</v>
      </c>
      <c r="C8" s="737">
        <v>68315060</v>
      </c>
      <c r="D8" s="738">
        <v>68315060</v>
      </c>
      <c r="E8" s="728"/>
      <c r="F8" s="739" t="s">
        <v>27</v>
      </c>
      <c r="G8" s="736">
        <v>18375000</v>
      </c>
      <c r="H8" s="737">
        <v>44641652</v>
      </c>
      <c r="I8" s="738">
        <v>44267680</v>
      </c>
    </row>
    <row r="9" spans="1:9" ht="11.25">
      <c r="A9" s="740" t="s">
        <v>10</v>
      </c>
      <c r="B9" s="741">
        <v>3050000</v>
      </c>
      <c r="C9" s="742">
        <v>4350000</v>
      </c>
      <c r="D9" s="743">
        <v>5571726</v>
      </c>
      <c r="E9" s="728"/>
      <c r="F9" s="744" t="s">
        <v>460</v>
      </c>
      <c r="G9" s="741">
        <v>3950000</v>
      </c>
      <c r="H9" s="742">
        <v>7939772</v>
      </c>
      <c r="I9" s="743">
        <v>7559637</v>
      </c>
    </row>
    <row r="10" spans="1:9" ht="11.25">
      <c r="A10" s="740" t="s">
        <v>12</v>
      </c>
      <c r="B10" s="741">
        <v>1347000</v>
      </c>
      <c r="C10" s="742">
        <v>2214869</v>
      </c>
      <c r="D10" s="743">
        <v>2138510</v>
      </c>
      <c r="E10" s="728"/>
      <c r="F10" s="744" t="s">
        <v>30</v>
      </c>
      <c r="G10" s="741">
        <v>9921000</v>
      </c>
      <c r="H10" s="742">
        <v>17716404</v>
      </c>
      <c r="I10" s="743">
        <v>16964368</v>
      </c>
    </row>
    <row r="11" spans="1:9" ht="11.25">
      <c r="A11" s="740" t="s">
        <v>461</v>
      </c>
      <c r="B11" s="741">
        <v>0</v>
      </c>
      <c r="C11" s="742">
        <v>0</v>
      </c>
      <c r="D11" s="743">
        <v>0</v>
      </c>
      <c r="E11" s="728"/>
      <c r="F11" s="744" t="s">
        <v>32</v>
      </c>
      <c r="G11" s="741">
        <v>2683000</v>
      </c>
      <c r="H11" s="742">
        <v>3502000</v>
      </c>
      <c r="I11" s="743">
        <v>3501000</v>
      </c>
    </row>
    <row r="12" spans="1:9" ht="12" thickBot="1">
      <c r="A12" s="745" t="s">
        <v>462</v>
      </c>
      <c r="B12" s="746">
        <f>SUM(B8:B11)</f>
        <v>30469000</v>
      </c>
      <c r="C12" s="747">
        <f>SUM(C8:C11)</f>
        <v>74879929</v>
      </c>
      <c r="D12" s="748">
        <f>SUM(D8:D11)</f>
        <v>76025296</v>
      </c>
      <c r="E12" s="728"/>
      <c r="F12" s="744" t="s">
        <v>170</v>
      </c>
      <c r="G12" s="741">
        <v>4008000</v>
      </c>
      <c r="H12" s="742">
        <v>11247376</v>
      </c>
      <c r="I12" s="743">
        <v>2701091</v>
      </c>
    </row>
    <row r="13" spans="1:9" ht="11.25">
      <c r="A13" s="749" t="s">
        <v>45</v>
      </c>
      <c r="B13" s="750">
        <v>43000</v>
      </c>
      <c r="C13" s="751">
        <v>21014835</v>
      </c>
      <c r="D13" s="738">
        <v>21014435</v>
      </c>
      <c r="E13" s="728"/>
      <c r="F13" s="744" t="s">
        <v>463</v>
      </c>
      <c r="G13" s="741">
        <v>2000000</v>
      </c>
      <c r="H13" s="742">
        <v>8474456</v>
      </c>
      <c r="I13" s="743">
        <v>0</v>
      </c>
    </row>
    <row r="14" spans="1:9" ht="12" thickBot="1">
      <c r="A14" s="740" t="s">
        <v>15</v>
      </c>
      <c r="B14" s="741">
        <v>0</v>
      </c>
      <c r="C14" s="742">
        <v>2125510</v>
      </c>
      <c r="D14" s="743">
        <v>2125560</v>
      </c>
      <c r="E14" s="728"/>
      <c r="F14" s="752" t="s">
        <v>464</v>
      </c>
      <c r="G14" s="746">
        <f>SUM(G8:G12)</f>
        <v>38937000</v>
      </c>
      <c r="H14" s="747">
        <f>SUM(H8:H12)</f>
        <v>85047204</v>
      </c>
      <c r="I14" s="748">
        <f>SUM(I8:I12)</f>
        <v>74993776</v>
      </c>
    </row>
    <row r="15" spans="1:9" ht="12" thickBot="1">
      <c r="A15" s="745" t="s">
        <v>465</v>
      </c>
      <c r="B15" s="746">
        <f>SUM(B13:B14)</f>
        <v>43000</v>
      </c>
      <c r="C15" s="747">
        <f>SUM(C13:C14)</f>
        <v>23140345</v>
      </c>
      <c r="D15" s="748">
        <f>SUM(D13:D14)</f>
        <v>23139995</v>
      </c>
      <c r="E15" s="728"/>
      <c r="F15" s="753" t="s">
        <v>35</v>
      </c>
      <c r="G15" s="750">
        <v>506000</v>
      </c>
      <c r="H15" s="751">
        <v>4710034</v>
      </c>
      <c r="I15" s="738">
        <v>4599437</v>
      </c>
    </row>
    <row r="16" spans="1:9" ht="12" thickBot="1">
      <c r="A16" s="754" t="s">
        <v>21</v>
      </c>
      <c r="B16" s="755">
        <f>B12+B15</f>
        <v>30512000</v>
      </c>
      <c r="C16" s="756">
        <f>C12+C15</f>
        <v>98020274</v>
      </c>
      <c r="D16" s="757">
        <f>D12+D15</f>
        <v>99165291</v>
      </c>
      <c r="E16" s="728"/>
      <c r="F16" s="744" t="s">
        <v>37</v>
      </c>
      <c r="G16" s="741">
        <v>500000</v>
      </c>
      <c r="H16" s="742">
        <v>18147059</v>
      </c>
      <c r="I16" s="743">
        <v>0</v>
      </c>
    </row>
    <row r="17" spans="1:9" ht="11.25">
      <c r="A17" s="749" t="s">
        <v>164</v>
      </c>
      <c r="B17" s="750">
        <v>9971000</v>
      </c>
      <c r="C17" s="751">
        <v>10218730</v>
      </c>
      <c r="D17" s="738">
        <v>10218730</v>
      </c>
      <c r="E17" s="728"/>
      <c r="F17" s="758" t="s">
        <v>182</v>
      </c>
      <c r="G17" s="759">
        <v>0</v>
      </c>
      <c r="H17" s="760">
        <v>0</v>
      </c>
      <c r="I17" s="743">
        <v>0</v>
      </c>
    </row>
    <row r="18" spans="1:9" ht="12" thickBot="1">
      <c r="A18" s="740" t="s">
        <v>165</v>
      </c>
      <c r="B18" s="741">
        <v>0</v>
      </c>
      <c r="C18" s="742">
        <v>0</v>
      </c>
      <c r="D18" s="743">
        <v>0</v>
      </c>
      <c r="E18" s="728"/>
      <c r="F18" s="761" t="s">
        <v>466</v>
      </c>
      <c r="G18" s="762">
        <f>SUM(G15:G17)</f>
        <v>1006000</v>
      </c>
      <c r="H18" s="763">
        <f>SUM(H15:H17)</f>
        <v>22857093</v>
      </c>
      <c r="I18" s="764">
        <f>SUM(I15:I17)</f>
        <v>4599437</v>
      </c>
    </row>
    <row r="19" spans="1:9" ht="12" thickBot="1">
      <c r="A19" s="765" t="s">
        <v>397</v>
      </c>
      <c r="B19" s="766">
        <v>0</v>
      </c>
      <c r="C19" s="767">
        <v>983000</v>
      </c>
      <c r="D19" s="768">
        <v>983000</v>
      </c>
      <c r="E19" s="728"/>
      <c r="F19" s="769" t="s">
        <v>82</v>
      </c>
      <c r="G19" s="755">
        <f>G14+G18</f>
        <v>39943000</v>
      </c>
      <c r="H19" s="756">
        <f>H14+H18</f>
        <v>107904297</v>
      </c>
      <c r="I19" s="757">
        <f>I14+I18</f>
        <v>79593213</v>
      </c>
    </row>
    <row r="20" spans="1:9" ht="12" thickBot="1">
      <c r="A20" s="754" t="s">
        <v>470</v>
      </c>
      <c r="B20" s="755">
        <f>B17+B18+B19</f>
        <v>9971000</v>
      </c>
      <c r="C20" s="756">
        <f>C17+C18+C19</f>
        <v>11201730</v>
      </c>
      <c r="D20" s="756">
        <f>D17+D18+D19</f>
        <v>11201730</v>
      </c>
      <c r="E20" s="728"/>
      <c r="F20" s="770" t="s">
        <v>467</v>
      </c>
      <c r="G20" s="771">
        <v>540000</v>
      </c>
      <c r="H20" s="772">
        <v>1317707</v>
      </c>
      <c r="I20" s="773">
        <v>1317707</v>
      </c>
    </row>
    <row r="21" spans="1:9" ht="12" thickBot="1">
      <c r="A21" s="754" t="s">
        <v>468</v>
      </c>
      <c r="B21" s="755">
        <f>B16+B20</f>
        <v>40483000</v>
      </c>
      <c r="C21" s="756">
        <f>C16+C20</f>
        <v>109222004</v>
      </c>
      <c r="D21" s="756">
        <f>D16+D20</f>
        <v>110367021</v>
      </c>
      <c r="E21" s="728"/>
      <c r="F21" s="769" t="s">
        <v>469</v>
      </c>
      <c r="G21" s="755">
        <f>SUM(G19:G20)</f>
        <v>40483000</v>
      </c>
      <c r="H21" s="756">
        <f>SUM(H19:H20)</f>
        <v>109222004</v>
      </c>
      <c r="I21" s="757">
        <f>SUM(I19:I20)</f>
        <v>80910920</v>
      </c>
    </row>
  </sheetData>
  <sheetProtection/>
  <mergeCells count="2">
    <mergeCell ref="A3:I3"/>
    <mergeCell ref="A4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8515625" style="305" customWidth="1"/>
    <col min="2" max="2" width="45.421875" style="305" customWidth="1"/>
    <col min="3" max="3" width="11.28125" style="305" hidden="1" customWidth="1"/>
    <col min="4" max="4" width="8.28125" style="305" hidden="1" customWidth="1"/>
    <col min="5" max="5" width="10.421875" style="305" bestFit="1" customWidth="1"/>
    <col min="6" max="6" width="10.28125" style="305" hidden="1" customWidth="1"/>
    <col min="7" max="7" width="12.8515625" style="305" hidden="1" customWidth="1"/>
    <col min="8" max="9" width="9.140625" style="305" hidden="1" customWidth="1"/>
    <col min="10" max="10" width="8.7109375" style="305" hidden="1" customWidth="1"/>
    <col min="11" max="12" width="8.421875" style="305" hidden="1" customWidth="1"/>
    <col min="13" max="13" width="11.8515625" style="305" bestFit="1" customWidth="1"/>
    <col min="14" max="14" width="9.28125" style="305" bestFit="1" customWidth="1"/>
    <col min="15" max="16384" width="9.140625" style="305" customWidth="1"/>
  </cols>
  <sheetData>
    <row r="1" spans="1:2" ht="12">
      <c r="A1" s="304" t="s">
        <v>471</v>
      </c>
      <c r="B1" s="305" t="s">
        <v>799</v>
      </c>
    </row>
    <row r="2" ht="12">
      <c r="A2" s="304"/>
    </row>
    <row r="3" spans="1:15" ht="12">
      <c r="A3" s="858" t="s">
        <v>198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</row>
    <row r="4" spans="1:15" ht="12" customHeight="1">
      <c r="A4" s="858" t="s">
        <v>400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</row>
    <row r="5" spans="1:15" ht="12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4" ht="12.75" thickBot="1">
      <c r="A6" s="307"/>
      <c r="B6" s="307"/>
      <c r="C6" s="307"/>
      <c r="D6" s="307"/>
      <c r="E6" s="308"/>
      <c r="M6" s="304"/>
      <c r="N6" s="304" t="s">
        <v>363</v>
      </c>
    </row>
    <row r="7" spans="1:15" ht="48.75" thickBot="1">
      <c r="A7" s="309" t="s">
        <v>391</v>
      </c>
      <c r="B7" s="310" t="s">
        <v>104</v>
      </c>
      <c r="C7" s="310" t="s">
        <v>2</v>
      </c>
      <c r="D7" s="310" t="s">
        <v>3</v>
      </c>
      <c r="E7" s="311" t="s">
        <v>322</v>
      </c>
      <c r="F7" s="312" t="s">
        <v>356</v>
      </c>
      <c r="G7" s="312"/>
      <c r="H7" s="312" t="s">
        <v>194</v>
      </c>
      <c r="I7" s="312"/>
      <c r="J7" s="312" t="s">
        <v>357</v>
      </c>
      <c r="K7" s="312" t="s">
        <v>358</v>
      </c>
      <c r="L7" s="415" t="s">
        <v>393</v>
      </c>
      <c r="M7" s="415" t="s">
        <v>359</v>
      </c>
      <c r="N7" s="312" t="s">
        <v>398</v>
      </c>
      <c r="O7" s="313" t="s">
        <v>399</v>
      </c>
    </row>
    <row r="8" spans="1:15" ht="13.5" thickBot="1">
      <c r="A8" s="314" t="s">
        <v>6</v>
      </c>
      <c r="B8" s="315" t="s">
        <v>7</v>
      </c>
      <c r="C8" s="316">
        <f>C9+C16+C17+C18</f>
        <v>23072</v>
      </c>
      <c r="D8" s="316">
        <f>SUM(D9,D16,D17,D18)</f>
        <v>0</v>
      </c>
      <c r="E8" s="317">
        <f>SUM(E9,E16,E17,E18)</f>
        <v>26072000</v>
      </c>
      <c r="F8" s="318">
        <f aca="true" t="shared" si="0" ref="F8:K8">F9+F16+F17+F18</f>
        <v>32932874</v>
      </c>
      <c r="G8" s="318">
        <f t="shared" si="0"/>
        <v>0</v>
      </c>
      <c r="H8" s="318">
        <f t="shared" si="0"/>
        <v>0</v>
      </c>
      <c r="I8" s="318">
        <f t="shared" si="0"/>
        <v>0</v>
      </c>
      <c r="J8" s="318">
        <f t="shared" si="0"/>
        <v>1905838</v>
      </c>
      <c r="K8" s="318">
        <f t="shared" si="0"/>
        <v>0</v>
      </c>
      <c r="L8" s="318">
        <f>L9+L16+L17+L18</f>
        <v>7404348</v>
      </c>
      <c r="M8" s="444">
        <f>E8+F8+J8+K8+L8</f>
        <v>68315060</v>
      </c>
      <c r="N8" s="337">
        <f>N9+N16+N17+N18</f>
        <v>68315060</v>
      </c>
      <c r="O8" s="453">
        <f>N8/M8</f>
        <v>1</v>
      </c>
    </row>
    <row r="9" spans="1:15" ht="12.75" customHeight="1">
      <c r="A9" s="457" t="s">
        <v>105</v>
      </c>
      <c r="B9" s="320" t="s">
        <v>106</v>
      </c>
      <c r="C9" s="321">
        <f aca="true" t="shared" si="1" ref="C9:J9">SUM(C10:C15)</f>
        <v>22916</v>
      </c>
      <c r="D9" s="321">
        <f t="shared" si="1"/>
        <v>0</v>
      </c>
      <c r="E9" s="339">
        <f>SUM(E10:E15)</f>
        <v>22916000</v>
      </c>
      <c r="F9" s="454">
        <f t="shared" si="1"/>
        <v>342781</v>
      </c>
      <c r="G9" s="454">
        <f t="shared" si="1"/>
        <v>0</v>
      </c>
      <c r="H9" s="454">
        <f t="shared" si="1"/>
        <v>0</v>
      </c>
      <c r="I9" s="454">
        <f t="shared" si="1"/>
        <v>0</v>
      </c>
      <c r="J9" s="454">
        <f t="shared" si="1"/>
        <v>818183</v>
      </c>
      <c r="K9" s="454">
        <f>SUM(K10:K15)</f>
        <v>3000000</v>
      </c>
      <c r="L9" s="454">
        <f>SUM(L10:L15)</f>
        <v>1848848</v>
      </c>
      <c r="M9" s="455">
        <f aca="true" t="shared" si="2" ref="M9:M67">E9+F9+J9+K9+L9</f>
        <v>28925812</v>
      </c>
      <c r="N9" s="454">
        <f>SUM(N10:N15)</f>
        <v>28925812</v>
      </c>
      <c r="O9" s="456">
        <f aca="true" t="shared" si="3" ref="O9:O68">N9/M9</f>
        <v>1</v>
      </c>
    </row>
    <row r="10" spans="1:15" ht="12.75" customHeight="1">
      <c r="A10" s="324"/>
      <c r="B10" s="325" t="s">
        <v>379</v>
      </c>
      <c r="C10" s="326">
        <v>7776</v>
      </c>
      <c r="D10" s="326"/>
      <c r="E10" s="327">
        <v>7776011</v>
      </c>
      <c r="F10" s="328">
        <v>29002</v>
      </c>
      <c r="G10" s="328"/>
      <c r="H10" s="328"/>
      <c r="I10" s="328"/>
      <c r="J10" s="328">
        <f>Munka1!J9</f>
        <v>789608</v>
      </c>
      <c r="K10" s="328">
        <v>0</v>
      </c>
      <c r="L10" s="417">
        <v>526409</v>
      </c>
      <c r="M10" s="446">
        <f t="shared" si="2"/>
        <v>9121030</v>
      </c>
      <c r="N10" s="328">
        <v>9121030</v>
      </c>
      <c r="O10" s="450">
        <f t="shared" si="3"/>
        <v>1</v>
      </c>
    </row>
    <row r="11" spans="1:15" ht="12.75" customHeight="1">
      <c r="A11" s="324"/>
      <c r="B11" s="325" t="s">
        <v>380</v>
      </c>
      <c r="C11" s="326">
        <f>9028</f>
        <v>9028</v>
      </c>
      <c r="D11" s="326"/>
      <c r="E11" s="327">
        <v>9027733</v>
      </c>
      <c r="F11" s="328">
        <v>0</v>
      </c>
      <c r="G11" s="328"/>
      <c r="H11" s="328"/>
      <c r="I11" s="328"/>
      <c r="J11" s="328">
        <f>Munka1!J10</f>
        <v>0</v>
      </c>
      <c r="K11" s="328">
        <v>0</v>
      </c>
      <c r="L11" s="417">
        <v>347533</v>
      </c>
      <c r="M11" s="446">
        <f t="shared" si="2"/>
        <v>9375266</v>
      </c>
      <c r="N11" s="328">
        <v>9375266</v>
      </c>
      <c r="O11" s="450">
        <f t="shared" si="3"/>
        <v>1</v>
      </c>
    </row>
    <row r="12" spans="1:15" ht="12.75" customHeight="1">
      <c r="A12" s="324"/>
      <c r="B12" s="325" t="s">
        <v>381</v>
      </c>
      <c r="C12" s="326">
        <v>4912</v>
      </c>
      <c r="D12" s="326"/>
      <c r="E12" s="327">
        <v>4912256</v>
      </c>
      <c r="F12" s="328">
        <v>0</v>
      </c>
      <c r="G12" s="328"/>
      <c r="H12" s="328"/>
      <c r="I12" s="328"/>
      <c r="J12" s="328">
        <f>Munka1!J11</f>
        <v>0</v>
      </c>
      <c r="K12" s="328">
        <v>0</v>
      </c>
      <c r="L12" s="417">
        <v>589544</v>
      </c>
      <c r="M12" s="446">
        <f t="shared" si="2"/>
        <v>5501800</v>
      </c>
      <c r="N12" s="328">
        <v>5501800</v>
      </c>
      <c r="O12" s="450">
        <f t="shared" si="3"/>
        <v>1</v>
      </c>
    </row>
    <row r="13" spans="1:15" ht="12.75" customHeight="1">
      <c r="A13" s="324"/>
      <c r="B13" s="325" t="s">
        <v>378</v>
      </c>
      <c r="C13" s="326">
        <v>1200</v>
      </c>
      <c r="D13" s="326"/>
      <c r="E13" s="327">
        <v>1200000</v>
      </c>
      <c r="F13" s="328">
        <v>0</v>
      </c>
      <c r="G13" s="328"/>
      <c r="H13" s="328"/>
      <c r="I13" s="328"/>
      <c r="J13" s="328">
        <f>Munka1!J12</f>
        <v>0</v>
      </c>
      <c r="K13" s="328">
        <v>0</v>
      </c>
      <c r="L13" s="417">
        <v>0</v>
      </c>
      <c r="M13" s="446">
        <f t="shared" si="2"/>
        <v>1200000</v>
      </c>
      <c r="N13" s="328">
        <v>1200000</v>
      </c>
      <c r="O13" s="450">
        <f t="shared" si="3"/>
        <v>1</v>
      </c>
    </row>
    <row r="14" spans="1:15" ht="12.75" customHeight="1">
      <c r="A14" s="324"/>
      <c r="B14" s="329" t="s">
        <v>377</v>
      </c>
      <c r="C14" s="326">
        <v>0</v>
      </c>
      <c r="D14" s="326"/>
      <c r="E14" s="327">
        <v>0</v>
      </c>
      <c r="F14" s="328">
        <v>157939</v>
      </c>
      <c r="G14" s="328"/>
      <c r="H14" s="328"/>
      <c r="I14" s="328"/>
      <c r="J14" s="328">
        <f>Munka1!J13</f>
        <v>28575</v>
      </c>
      <c r="K14" s="328">
        <v>3000000</v>
      </c>
      <c r="L14" s="417">
        <v>385362</v>
      </c>
      <c r="M14" s="446">
        <f t="shared" si="2"/>
        <v>3571876</v>
      </c>
      <c r="N14" s="328">
        <v>3571876</v>
      </c>
      <c r="O14" s="450">
        <f t="shared" si="3"/>
        <v>1</v>
      </c>
    </row>
    <row r="15" spans="1:15" ht="12.75" customHeight="1">
      <c r="A15" s="324"/>
      <c r="B15" s="325" t="s">
        <v>376</v>
      </c>
      <c r="C15" s="326">
        <v>0</v>
      </c>
      <c r="D15" s="326"/>
      <c r="E15" s="327">
        <f>C15+D15</f>
        <v>0</v>
      </c>
      <c r="F15" s="328">
        <v>155840</v>
      </c>
      <c r="G15" s="328"/>
      <c r="H15" s="328"/>
      <c r="I15" s="328"/>
      <c r="J15" s="328">
        <f>Munka1!J14</f>
        <v>0</v>
      </c>
      <c r="K15" s="328">
        <v>0</v>
      </c>
      <c r="L15" s="417">
        <v>0</v>
      </c>
      <c r="M15" s="446">
        <f t="shared" si="2"/>
        <v>155840</v>
      </c>
      <c r="N15" s="328">
        <v>155840</v>
      </c>
      <c r="O15" s="450">
        <f t="shared" si="3"/>
        <v>1</v>
      </c>
    </row>
    <row r="16" spans="1:15" ht="12.75" customHeight="1">
      <c r="A16" s="458" t="s">
        <v>107</v>
      </c>
      <c r="B16" s="330" t="s">
        <v>108</v>
      </c>
      <c r="C16" s="340">
        <v>156</v>
      </c>
      <c r="D16" s="340"/>
      <c r="E16" s="341">
        <v>156000</v>
      </c>
      <c r="F16" s="343">
        <v>-156000</v>
      </c>
      <c r="G16" s="343"/>
      <c r="H16" s="343"/>
      <c r="I16" s="343"/>
      <c r="J16" s="343">
        <f>Munka1!J15</f>
        <v>0</v>
      </c>
      <c r="K16" s="343">
        <v>0</v>
      </c>
      <c r="L16" s="420">
        <v>0</v>
      </c>
      <c r="M16" s="449">
        <f t="shared" si="2"/>
        <v>0</v>
      </c>
      <c r="N16" s="343">
        <v>0</v>
      </c>
      <c r="O16" s="459">
        <v>0</v>
      </c>
    </row>
    <row r="17" spans="1:15" ht="12.75" customHeight="1">
      <c r="A17" s="458" t="s">
        <v>109</v>
      </c>
      <c r="B17" s="330" t="s">
        <v>110</v>
      </c>
      <c r="C17" s="340">
        <v>0</v>
      </c>
      <c r="D17" s="340"/>
      <c r="E17" s="341">
        <v>0</v>
      </c>
      <c r="F17" s="343"/>
      <c r="G17" s="343"/>
      <c r="H17" s="343"/>
      <c r="I17" s="343"/>
      <c r="J17" s="343">
        <f>Munka1!J16</f>
        <v>0</v>
      </c>
      <c r="K17" s="343">
        <v>0</v>
      </c>
      <c r="L17" s="420">
        <v>0</v>
      </c>
      <c r="M17" s="449">
        <f t="shared" si="2"/>
        <v>0</v>
      </c>
      <c r="N17" s="343">
        <v>0</v>
      </c>
      <c r="O17" s="459">
        <v>0</v>
      </c>
    </row>
    <row r="18" spans="1:15" ht="12.75" customHeight="1" thickBot="1">
      <c r="A18" s="460" t="s">
        <v>111</v>
      </c>
      <c r="B18" s="332" t="s">
        <v>112</v>
      </c>
      <c r="C18" s="461">
        <v>0</v>
      </c>
      <c r="D18" s="461">
        <v>0</v>
      </c>
      <c r="E18" s="462">
        <v>3000000</v>
      </c>
      <c r="F18" s="463">
        <f>Start!F10-28575</f>
        <v>32746093</v>
      </c>
      <c r="G18" s="463"/>
      <c r="H18" s="463"/>
      <c r="I18" s="463"/>
      <c r="J18" s="343">
        <f>Munka1!J17</f>
        <v>1087655</v>
      </c>
      <c r="K18" s="463">
        <v>-3000000</v>
      </c>
      <c r="L18" s="464">
        <v>5555500</v>
      </c>
      <c r="M18" s="465">
        <f t="shared" si="2"/>
        <v>39389248</v>
      </c>
      <c r="N18" s="463">
        <v>39389248</v>
      </c>
      <c r="O18" s="466">
        <f t="shared" si="3"/>
        <v>1</v>
      </c>
    </row>
    <row r="19" spans="1:15" ht="12.75" customHeight="1" thickBot="1">
      <c r="A19" s="314" t="s">
        <v>8</v>
      </c>
      <c r="B19" s="315" t="s">
        <v>113</v>
      </c>
      <c r="C19" s="316">
        <f>Önkormányzat!E11+Start!E11+Községgazd!G11+Könyvtár!H11+Ovi!E11+Közvilágítás!H11+Közút!E10</f>
        <v>43000</v>
      </c>
      <c r="D19" s="316">
        <v>0</v>
      </c>
      <c r="E19" s="336">
        <f>(C19+D19)</f>
        <v>43000</v>
      </c>
      <c r="F19" s="337">
        <f>Önkormányzat!F11+Start!F11</f>
        <v>6082065</v>
      </c>
      <c r="G19" s="337" t="str">
        <f>IF(E19=(Önkormányzat!E11+Start!E11+Községgazd!G11+Könyvtár!H11+Ovi!E11),"Egyenlő","Nem egyenlő")</f>
        <v>Egyenlő</v>
      </c>
      <c r="H19" s="337">
        <f>E19-(Önkormányzat!E11+Start!E11+Községgazd!G11+Könyvtár!H11+Ovi!E11)</f>
        <v>0</v>
      </c>
      <c r="I19" s="337"/>
      <c r="J19" s="337">
        <f>Munka1!J18</f>
        <v>15000000</v>
      </c>
      <c r="K19" s="337"/>
      <c r="L19" s="419">
        <f>Start!I11</f>
        <v>-110230</v>
      </c>
      <c r="M19" s="448">
        <f t="shared" si="2"/>
        <v>21014835</v>
      </c>
      <c r="N19" s="337">
        <v>21014435</v>
      </c>
      <c r="O19" s="453">
        <f t="shared" si="3"/>
        <v>0.9999809658272358</v>
      </c>
    </row>
    <row r="20" spans="1:15" ht="12.75" customHeight="1" thickBot="1">
      <c r="A20" s="314" t="s">
        <v>9</v>
      </c>
      <c r="B20" s="315" t="s">
        <v>10</v>
      </c>
      <c r="C20" s="316">
        <f>SUM(C21,C23,C27)</f>
        <v>3050</v>
      </c>
      <c r="D20" s="316">
        <f>SUM(D21:D30)</f>
        <v>0</v>
      </c>
      <c r="E20" s="336">
        <f aca="true" t="shared" si="4" ref="E20:E27">(C20+D20)*1000</f>
        <v>3050000</v>
      </c>
      <c r="F20" s="337">
        <f aca="true" t="shared" si="5" ref="F20:K20">F21+F23+F27</f>
        <v>0</v>
      </c>
      <c r="G20" s="337">
        <f t="shared" si="5"/>
        <v>0</v>
      </c>
      <c r="H20" s="337">
        <f t="shared" si="5"/>
        <v>0</v>
      </c>
      <c r="I20" s="337">
        <f t="shared" si="5"/>
        <v>0</v>
      </c>
      <c r="J20" s="337">
        <f t="shared" si="5"/>
        <v>0</v>
      </c>
      <c r="K20" s="337">
        <f t="shared" si="5"/>
        <v>1300000</v>
      </c>
      <c r="L20" s="419">
        <v>0</v>
      </c>
      <c r="M20" s="448">
        <f t="shared" si="2"/>
        <v>4350000</v>
      </c>
      <c r="N20" s="337">
        <f>N21+N23+N27</f>
        <v>5571726</v>
      </c>
      <c r="O20" s="453">
        <f t="shared" si="3"/>
        <v>1.280856551724138</v>
      </c>
    </row>
    <row r="21" spans="1:15" ht="12.75" customHeight="1">
      <c r="A21" s="319" t="s">
        <v>114</v>
      </c>
      <c r="B21" s="320" t="s">
        <v>115</v>
      </c>
      <c r="C21" s="338">
        <f>SUM(C22:C22)</f>
        <v>1100</v>
      </c>
      <c r="D21" s="338"/>
      <c r="E21" s="339">
        <f t="shared" si="4"/>
        <v>1100000</v>
      </c>
      <c r="F21" s="323">
        <f aca="true" t="shared" si="6" ref="F21:K21">F22</f>
        <v>0</v>
      </c>
      <c r="G21" s="323">
        <f t="shared" si="6"/>
        <v>0</v>
      </c>
      <c r="H21" s="323">
        <f t="shared" si="6"/>
        <v>0</v>
      </c>
      <c r="I21" s="323">
        <f t="shared" si="6"/>
        <v>0</v>
      </c>
      <c r="J21" s="323">
        <f t="shared" si="6"/>
        <v>0</v>
      </c>
      <c r="K21" s="323">
        <f t="shared" si="6"/>
        <v>0</v>
      </c>
      <c r="L21" s="416">
        <v>0</v>
      </c>
      <c r="M21" s="445">
        <f t="shared" si="2"/>
        <v>1100000</v>
      </c>
      <c r="N21" s="323">
        <f>N22</f>
        <v>1125501</v>
      </c>
      <c r="O21" s="452">
        <f t="shared" si="3"/>
        <v>1.0231827272727272</v>
      </c>
    </row>
    <row r="22" spans="1:15" ht="12.75" customHeight="1">
      <c r="A22" s="324"/>
      <c r="B22" s="325" t="s">
        <v>116</v>
      </c>
      <c r="C22" s="326">
        <v>1100</v>
      </c>
      <c r="D22" s="326"/>
      <c r="E22" s="327">
        <f t="shared" si="4"/>
        <v>1100000</v>
      </c>
      <c r="F22" s="328">
        <v>0</v>
      </c>
      <c r="G22" s="328"/>
      <c r="H22" s="328"/>
      <c r="I22" s="328"/>
      <c r="J22" s="328">
        <v>0</v>
      </c>
      <c r="K22" s="328"/>
      <c r="L22" s="417"/>
      <c r="M22" s="446">
        <f t="shared" si="2"/>
        <v>1100000</v>
      </c>
      <c r="N22" s="328">
        <v>1125501</v>
      </c>
      <c r="O22" s="450">
        <f t="shared" si="3"/>
        <v>1.0231827272727272</v>
      </c>
    </row>
    <row r="23" spans="1:15" ht="12.75" customHeight="1">
      <c r="A23" s="324" t="s">
        <v>117</v>
      </c>
      <c r="B23" s="330" t="s">
        <v>118</v>
      </c>
      <c r="C23" s="340">
        <f>SUM(C24+C26)</f>
        <v>1900</v>
      </c>
      <c r="D23" s="340"/>
      <c r="E23" s="341">
        <f t="shared" si="4"/>
        <v>1900000</v>
      </c>
      <c r="F23" s="328">
        <f aca="true" t="shared" si="7" ref="F23:K23">F24+F27</f>
        <v>0</v>
      </c>
      <c r="G23" s="328">
        <f t="shared" si="7"/>
        <v>0</v>
      </c>
      <c r="H23" s="328">
        <f t="shared" si="7"/>
        <v>0</v>
      </c>
      <c r="I23" s="328">
        <f t="shared" si="7"/>
        <v>0</v>
      </c>
      <c r="J23" s="328">
        <f t="shared" si="7"/>
        <v>0</v>
      </c>
      <c r="K23" s="328">
        <f t="shared" si="7"/>
        <v>1300000</v>
      </c>
      <c r="L23" s="417">
        <v>0</v>
      </c>
      <c r="M23" s="446">
        <f t="shared" si="2"/>
        <v>3200000</v>
      </c>
      <c r="N23" s="328">
        <f>N24+N26</f>
        <v>4420001</v>
      </c>
      <c r="O23" s="450">
        <f t="shared" si="3"/>
        <v>1.3812503125</v>
      </c>
    </row>
    <row r="24" spans="1:15" ht="12.75" customHeight="1">
      <c r="A24" s="324" t="s">
        <v>119</v>
      </c>
      <c r="B24" s="325" t="s">
        <v>120</v>
      </c>
      <c r="C24" s="326">
        <f>C25</f>
        <v>1100</v>
      </c>
      <c r="D24" s="326"/>
      <c r="E24" s="327">
        <f t="shared" si="4"/>
        <v>1100000</v>
      </c>
      <c r="F24" s="328">
        <f aca="true" t="shared" si="8" ref="F24:K24">F25</f>
        <v>0</v>
      </c>
      <c r="G24" s="328">
        <f t="shared" si="8"/>
        <v>0</v>
      </c>
      <c r="H24" s="328">
        <f t="shared" si="8"/>
        <v>0</v>
      </c>
      <c r="I24" s="328">
        <f t="shared" si="8"/>
        <v>0</v>
      </c>
      <c r="J24" s="328">
        <f t="shared" si="8"/>
        <v>0</v>
      </c>
      <c r="K24" s="328">
        <f t="shared" si="8"/>
        <v>1300000</v>
      </c>
      <c r="L24" s="417">
        <v>0</v>
      </c>
      <c r="M24" s="446">
        <f t="shared" si="2"/>
        <v>2400000</v>
      </c>
      <c r="N24" s="328">
        <f>N25</f>
        <v>3553609</v>
      </c>
      <c r="O24" s="450">
        <f t="shared" si="3"/>
        <v>1.4806704166666667</v>
      </c>
    </row>
    <row r="25" spans="1:15" ht="12.75" customHeight="1">
      <c r="A25" s="324"/>
      <c r="B25" s="342" t="s">
        <v>121</v>
      </c>
      <c r="C25" s="326">
        <v>1100</v>
      </c>
      <c r="D25" s="326"/>
      <c r="E25" s="327">
        <f t="shared" si="4"/>
        <v>1100000</v>
      </c>
      <c r="F25" s="328">
        <v>0</v>
      </c>
      <c r="G25" s="328"/>
      <c r="H25" s="328"/>
      <c r="I25" s="328"/>
      <c r="J25" s="328">
        <v>0</v>
      </c>
      <c r="K25" s="328">
        <v>1300000</v>
      </c>
      <c r="L25" s="417"/>
      <c r="M25" s="446">
        <f t="shared" si="2"/>
        <v>2400000</v>
      </c>
      <c r="N25" s="328">
        <v>3553609</v>
      </c>
      <c r="O25" s="450">
        <f t="shared" si="3"/>
        <v>1.4806704166666667</v>
      </c>
    </row>
    <row r="26" spans="1:15" ht="12.75" customHeight="1">
      <c r="A26" s="324" t="s">
        <v>122</v>
      </c>
      <c r="B26" s="325" t="s">
        <v>123</v>
      </c>
      <c r="C26" s="326">
        <v>800</v>
      </c>
      <c r="D26" s="326"/>
      <c r="E26" s="327">
        <f t="shared" si="4"/>
        <v>800000</v>
      </c>
      <c r="F26" s="328">
        <v>0</v>
      </c>
      <c r="G26" s="328"/>
      <c r="H26" s="328"/>
      <c r="I26" s="328"/>
      <c r="J26" s="328">
        <v>0</v>
      </c>
      <c r="K26" s="328">
        <v>0</v>
      </c>
      <c r="L26" s="417">
        <v>0</v>
      </c>
      <c r="M26" s="446">
        <f t="shared" si="2"/>
        <v>800000</v>
      </c>
      <c r="N26" s="328">
        <v>866392</v>
      </c>
      <c r="O26" s="450">
        <f t="shared" si="3"/>
        <v>1.08299</v>
      </c>
    </row>
    <row r="27" spans="1:15" ht="12.75" customHeight="1">
      <c r="A27" s="324" t="s">
        <v>124</v>
      </c>
      <c r="B27" s="330" t="s">
        <v>125</v>
      </c>
      <c r="C27" s="340">
        <f>SUM(C28:C30)</f>
        <v>50</v>
      </c>
      <c r="D27" s="340"/>
      <c r="E27" s="341">
        <f t="shared" si="4"/>
        <v>50000</v>
      </c>
      <c r="F27" s="343">
        <f aca="true" t="shared" si="9" ref="F27:K27">F28+F29+F30</f>
        <v>0</v>
      </c>
      <c r="G27" s="343">
        <f t="shared" si="9"/>
        <v>0</v>
      </c>
      <c r="H27" s="343">
        <f t="shared" si="9"/>
        <v>0</v>
      </c>
      <c r="I27" s="343">
        <f t="shared" si="9"/>
        <v>0</v>
      </c>
      <c r="J27" s="343">
        <f t="shared" si="9"/>
        <v>0</v>
      </c>
      <c r="K27" s="343">
        <f t="shared" si="9"/>
        <v>0</v>
      </c>
      <c r="L27" s="420">
        <v>0</v>
      </c>
      <c r="M27" s="449">
        <f t="shared" si="2"/>
        <v>50000</v>
      </c>
      <c r="N27" s="328">
        <f>N28+N29+N30</f>
        <v>26224</v>
      </c>
      <c r="O27" s="450">
        <f t="shared" si="3"/>
        <v>0.52448</v>
      </c>
    </row>
    <row r="28" spans="1:15" ht="12.75" customHeight="1">
      <c r="A28" s="324"/>
      <c r="B28" s="325" t="s">
        <v>126</v>
      </c>
      <c r="C28" s="326"/>
      <c r="D28" s="326"/>
      <c r="E28" s="327">
        <v>0</v>
      </c>
      <c r="F28" s="328">
        <v>0</v>
      </c>
      <c r="G28" s="328"/>
      <c r="H28" s="328"/>
      <c r="I28" s="328"/>
      <c r="J28" s="328">
        <v>0</v>
      </c>
      <c r="K28" s="328">
        <v>0</v>
      </c>
      <c r="L28" s="417">
        <v>0</v>
      </c>
      <c r="M28" s="446">
        <f t="shared" si="2"/>
        <v>0</v>
      </c>
      <c r="N28" s="328">
        <v>0</v>
      </c>
      <c r="O28" s="450">
        <v>0</v>
      </c>
    </row>
    <row r="29" spans="1:15" ht="12.75" customHeight="1">
      <c r="A29" s="324"/>
      <c r="B29" s="325" t="s">
        <v>127</v>
      </c>
      <c r="C29" s="326">
        <v>50</v>
      </c>
      <c r="D29" s="326"/>
      <c r="E29" s="327">
        <f>(C29+D29)*1000</f>
        <v>50000</v>
      </c>
      <c r="F29" s="328">
        <v>0</v>
      </c>
      <c r="G29" s="328"/>
      <c r="H29" s="328"/>
      <c r="I29" s="328"/>
      <c r="J29" s="328">
        <v>0</v>
      </c>
      <c r="K29" s="328">
        <v>0</v>
      </c>
      <c r="L29" s="417">
        <v>0</v>
      </c>
      <c r="M29" s="446">
        <f t="shared" si="2"/>
        <v>50000</v>
      </c>
      <c r="N29" s="328">
        <v>26224</v>
      </c>
      <c r="O29" s="450">
        <f t="shared" si="3"/>
        <v>0.52448</v>
      </c>
    </row>
    <row r="30" spans="1:15" ht="12.75" customHeight="1" thickBot="1">
      <c r="A30" s="331"/>
      <c r="B30" s="344" t="s">
        <v>128</v>
      </c>
      <c r="C30" s="333"/>
      <c r="D30" s="333"/>
      <c r="E30" s="334">
        <v>0</v>
      </c>
      <c r="F30" s="335">
        <v>0</v>
      </c>
      <c r="G30" s="335"/>
      <c r="H30" s="335"/>
      <c r="I30" s="335"/>
      <c r="J30" s="335">
        <v>0</v>
      </c>
      <c r="K30" s="335">
        <v>0</v>
      </c>
      <c r="L30" s="418">
        <v>0</v>
      </c>
      <c r="M30" s="447">
        <f t="shared" si="2"/>
        <v>0</v>
      </c>
      <c r="N30" s="335">
        <v>0</v>
      </c>
      <c r="O30" s="451">
        <v>0</v>
      </c>
    </row>
    <row r="31" spans="1:15" ht="12.75" customHeight="1" thickBot="1">
      <c r="A31" s="314" t="s">
        <v>11</v>
      </c>
      <c r="B31" s="315" t="s">
        <v>12</v>
      </c>
      <c r="C31" s="316">
        <f>SUM(C32,C33,C34,C35,C40,C41,C42,C43,C44,C45)</f>
        <v>1347</v>
      </c>
      <c r="D31" s="316">
        <f>SUM(D32:D45)</f>
        <v>0</v>
      </c>
      <c r="E31" s="336">
        <f>E34+E40</f>
        <v>1347000</v>
      </c>
      <c r="F31" s="337">
        <f aca="true" t="shared" si="10" ref="F31:L31">F32+F33+F34+F35+F40+F41+F42+F43+F44+F45</f>
        <v>180308</v>
      </c>
      <c r="G31" s="337">
        <f t="shared" si="10"/>
        <v>0</v>
      </c>
      <c r="H31" s="337">
        <f t="shared" si="10"/>
        <v>0</v>
      </c>
      <c r="I31" s="337">
        <f t="shared" si="10"/>
        <v>0</v>
      </c>
      <c r="J31" s="337">
        <f t="shared" si="10"/>
        <v>0</v>
      </c>
      <c r="K31" s="337">
        <f t="shared" si="10"/>
        <v>0</v>
      </c>
      <c r="L31" s="337">
        <f t="shared" si="10"/>
        <v>687561</v>
      </c>
      <c r="M31" s="448">
        <f>E31+F31+J31+K31+L31</f>
        <v>2214869</v>
      </c>
      <c r="N31" s="337">
        <f>N32+N33+N34+N35+N40+N43+N44+N45</f>
        <v>2138510</v>
      </c>
      <c r="O31" s="453">
        <f t="shared" si="3"/>
        <v>0.9655243718703003</v>
      </c>
    </row>
    <row r="32" spans="1:15" ht="12.75" customHeight="1">
      <c r="A32" s="319" t="s">
        <v>129</v>
      </c>
      <c r="B32" s="345" t="s">
        <v>130</v>
      </c>
      <c r="C32" s="321">
        <v>0</v>
      </c>
      <c r="D32" s="321"/>
      <c r="E32" s="322">
        <f>C32+D32</f>
        <v>0</v>
      </c>
      <c r="F32" s="323">
        <v>65400</v>
      </c>
      <c r="G32" s="323"/>
      <c r="H32" s="323"/>
      <c r="I32" s="323"/>
      <c r="J32" s="323">
        <v>0</v>
      </c>
      <c r="K32" s="323">
        <v>0</v>
      </c>
      <c r="L32" s="416">
        <f>Start!I13</f>
        <v>687561</v>
      </c>
      <c r="M32" s="445">
        <f>E32+F32+J32+K32+L32</f>
        <v>752961</v>
      </c>
      <c r="N32" s="323">
        <v>686670</v>
      </c>
      <c r="O32" s="452">
        <f t="shared" si="3"/>
        <v>0.911959583564089</v>
      </c>
    </row>
    <row r="33" spans="1:15" ht="12.75" customHeight="1">
      <c r="A33" s="324" t="s">
        <v>131</v>
      </c>
      <c r="B33" s="325" t="s">
        <v>132</v>
      </c>
      <c r="C33" s="326">
        <v>0</v>
      </c>
      <c r="D33" s="326"/>
      <c r="E33" s="327">
        <f>(C33+D33)*1000</f>
        <v>0</v>
      </c>
      <c r="F33" s="328">
        <v>200000</v>
      </c>
      <c r="G33" s="328"/>
      <c r="H33" s="328"/>
      <c r="I33" s="328"/>
      <c r="J33" s="328">
        <v>0</v>
      </c>
      <c r="K33" s="328">
        <v>0</v>
      </c>
      <c r="L33" s="417">
        <v>0</v>
      </c>
      <c r="M33" s="446">
        <f t="shared" si="2"/>
        <v>200000</v>
      </c>
      <c r="N33" s="328">
        <v>232413</v>
      </c>
      <c r="O33" s="450">
        <f t="shared" si="3"/>
        <v>1.162065</v>
      </c>
    </row>
    <row r="34" spans="1:15" ht="12.75" customHeight="1">
      <c r="A34" s="324" t="s">
        <v>133</v>
      </c>
      <c r="B34" s="325" t="s">
        <v>134</v>
      </c>
      <c r="C34" s="326">
        <f>200+550+556</f>
        <v>1306</v>
      </c>
      <c r="D34" s="326"/>
      <c r="E34" s="327">
        <f>(C34+D34)*1000</f>
        <v>1306000</v>
      </c>
      <c r="F34" s="328">
        <v>-128996</v>
      </c>
      <c r="G34" s="328"/>
      <c r="H34" s="328"/>
      <c r="I34" s="328"/>
      <c r="J34" s="328">
        <v>0</v>
      </c>
      <c r="K34" s="328">
        <v>0</v>
      </c>
      <c r="L34" s="417">
        <v>0</v>
      </c>
      <c r="M34" s="446">
        <f t="shared" si="2"/>
        <v>1177004</v>
      </c>
      <c r="N34" s="328">
        <v>1003978</v>
      </c>
      <c r="O34" s="450">
        <f t="shared" si="3"/>
        <v>0.8529945522700008</v>
      </c>
    </row>
    <row r="35" spans="1:15" ht="12.75" customHeight="1">
      <c r="A35" s="324" t="s">
        <v>135</v>
      </c>
      <c r="B35" s="330" t="s">
        <v>136</v>
      </c>
      <c r="C35" s="340">
        <f>SUM(C36:C39)</f>
        <v>0</v>
      </c>
      <c r="D35" s="326"/>
      <c r="E35" s="341">
        <v>0</v>
      </c>
      <c r="F35" s="328">
        <v>0</v>
      </c>
      <c r="G35" s="328"/>
      <c r="H35" s="328"/>
      <c r="I35" s="328"/>
      <c r="J35" s="328">
        <v>0</v>
      </c>
      <c r="K35" s="328">
        <v>0</v>
      </c>
      <c r="L35" s="417">
        <v>0</v>
      </c>
      <c r="M35" s="446">
        <f t="shared" si="2"/>
        <v>0</v>
      </c>
      <c r="N35" s="328">
        <f>N36+N38+N39</f>
        <v>90220</v>
      </c>
      <c r="O35" s="450"/>
    </row>
    <row r="36" spans="1:15" ht="12.75" customHeight="1">
      <c r="A36" s="324"/>
      <c r="B36" s="325" t="s">
        <v>390</v>
      </c>
      <c r="C36" s="326"/>
      <c r="D36" s="326"/>
      <c r="E36" s="327">
        <v>0</v>
      </c>
      <c r="F36" s="328">
        <v>0</v>
      </c>
      <c r="G36" s="328"/>
      <c r="H36" s="328"/>
      <c r="I36" s="328"/>
      <c r="J36" s="328">
        <v>0</v>
      </c>
      <c r="K36" s="328">
        <v>0</v>
      </c>
      <c r="L36" s="417">
        <v>0</v>
      </c>
      <c r="M36" s="446">
        <f t="shared" si="2"/>
        <v>0</v>
      </c>
      <c r="N36" s="328">
        <v>30530</v>
      </c>
      <c r="O36" s="450"/>
    </row>
    <row r="37" spans="1:15" ht="12.75" customHeight="1">
      <c r="A37" s="324"/>
      <c r="B37" s="325" t="s">
        <v>137</v>
      </c>
      <c r="C37" s="326"/>
      <c r="D37" s="326">
        <v>0</v>
      </c>
      <c r="E37" s="327"/>
      <c r="F37" s="328"/>
      <c r="G37" s="328"/>
      <c r="H37" s="328"/>
      <c r="I37" s="328"/>
      <c r="J37" s="328">
        <v>0</v>
      </c>
      <c r="K37" s="328">
        <v>0</v>
      </c>
      <c r="L37" s="417">
        <v>0</v>
      </c>
      <c r="M37" s="446">
        <f t="shared" si="2"/>
        <v>0</v>
      </c>
      <c r="N37" s="328">
        <v>0</v>
      </c>
      <c r="O37" s="450">
        <v>0</v>
      </c>
    </row>
    <row r="38" spans="1:15" ht="12.75" customHeight="1">
      <c r="A38" s="324"/>
      <c r="B38" s="325" t="s">
        <v>138</v>
      </c>
      <c r="C38" s="326"/>
      <c r="D38" s="326"/>
      <c r="E38" s="327">
        <v>0</v>
      </c>
      <c r="F38" s="328">
        <v>0</v>
      </c>
      <c r="G38" s="328"/>
      <c r="H38" s="328"/>
      <c r="I38" s="328"/>
      <c r="J38" s="328">
        <v>0</v>
      </c>
      <c r="K38" s="328">
        <v>0</v>
      </c>
      <c r="L38" s="417">
        <v>0</v>
      </c>
      <c r="M38" s="446">
        <f t="shared" si="2"/>
        <v>0</v>
      </c>
      <c r="N38" s="328">
        <v>59690</v>
      </c>
      <c r="O38" s="450"/>
    </row>
    <row r="39" spans="1:15" ht="12.75" customHeight="1">
      <c r="A39" s="324"/>
      <c r="B39" s="325" t="s">
        <v>139</v>
      </c>
      <c r="C39" s="326"/>
      <c r="D39" s="326"/>
      <c r="E39" s="327">
        <v>0</v>
      </c>
      <c r="F39" s="328">
        <v>0</v>
      </c>
      <c r="G39" s="328"/>
      <c r="H39" s="328"/>
      <c r="I39" s="328"/>
      <c r="J39" s="328">
        <v>0</v>
      </c>
      <c r="K39" s="328">
        <v>0</v>
      </c>
      <c r="L39" s="417">
        <v>0</v>
      </c>
      <c r="M39" s="446">
        <f t="shared" si="2"/>
        <v>0</v>
      </c>
      <c r="N39" s="328">
        <v>0</v>
      </c>
      <c r="O39" s="450">
        <v>0</v>
      </c>
    </row>
    <row r="40" spans="1:15" ht="12.75" customHeight="1">
      <c r="A40" s="324" t="s">
        <v>140</v>
      </c>
      <c r="B40" s="325" t="s">
        <v>141</v>
      </c>
      <c r="C40" s="326">
        <v>41</v>
      </c>
      <c r="D40" s="326"/>
      <c r="E40" s="327">
        <f>(C40+D40)*1000</f>
        <v>41000</v>
      </c>
      <c r="F40" s="328">
        <v>465</v>
      </c>
      <c r="G40" s="328"/>
      <c r="H40" s="328"/>
      <c r="I40" s="328"/>
      <c r="J40" s="328">
        <v>0</v>
      </c>
      <c r="K40" s="328">
        <v>0</v>
      </c>
      <c r="L40" s="417">
        <v>0</v>
      </c>
      <c r="M40" s="446">
        <f t="shared" si="2"/>
        <v>41465</v>
      </c>
      <c r="N40" s="328">
        <v>21625</v>
      </c>
      <c r="O40" s="450">
        <f t="shared" si="3"/>
        <v>0.5215241770167611</v>
      </c>
    </row>
    <row r="41" spans="1:15" ht="12.75" customHeight="1">
      <c r="A41" s="324" t="s">
        <v>142</v>
      </c>
      <c r="B41" s="325" t="s">
        <v>143</v>
      </c>
      <c r="C41" s="326"/>
      <c r="D41" s="326"/>
      <c r="E41" s="327">
        <f>C41+D41</f>
        <v>0</v>
      </c>
      <c r="F41" s="328"/>
      <c r="G41" s="328"/>
      <c r="H41" s="328"/>
      <c r="I41" s="328"/>
      <c r="J41" s="328">
        <v>0</v>
      </c>
      <c r="K41" s="328">
        <v>0</v>
      </c>
      <c r="L41" s="417">
        <v>0</v>
      </c>
      <c r="M41" s="446">
        <f t="shared" si="2"/>
        <v>0</v>
      </c>
      <c r="N41" s="328">
        <v>0</v>
      </c>
      <c r="O41" s="450">
        <v>0</v>
      </c>
    </row>
    <row r="42" spans="1:15" ht="12.75" customHeight="1">
      <c r="A42" s="324" t="s">
        <v>144</v>
      </c>
      <c r="B42" s="325" t="s">
        <v>145</v>
      </c>
      <c r="C42" s="326" t="s">
        <v>96</v>
      </c>
      <c r="D42" s="326"/>
      <c r="E42" s="327">
        <v>0</v>
      </c>
      <c r="F42" s="328"/>
      <c r="G42" s="328"/>
      <c r="H42" s="328"/>
      <c r="I42" s="328"/>
      <c r="J42" s="328">
        <v>0</v>
      </c>
      <c r="K42" s="328">
        <v>0</v>
      </c>
      <c r="L42" s="417">
        <v>0</v>
      </c>
      <c r="M42" s="446">
        <f t="shared" si="2"/>
        <v>0</v>
      </c>
      <c r="N42" s="328">
        <v>0</v>
      </c>
      <c r="O42" s="450">
        <v>0</v>
      </c>
    </row>
    <row r="43" spans="1:15" ht="12.75" customHeight="1">
      <c r="A43" s="324" t="s">
        <v>146</v>
      </c>
      <c r="B43" s="325" t="s">
        <v>147</v>
      </c>
      <c r="C43" s="326"/>
      <c r="D43" s="326"/>
      <c r="E43" s="327">
        <v>0</v>
      </c>
      <c r="F43" s="328">
        <v>0</v>
      </c>
      <c r="G43" s="328"/>
      <c r="H43" s="328"/>
      <c r="I43" s="328"/>
      <c r="J43" s="328">
        <v>0</v>
      </c>
      <c r="K43" s="328">
        <v>0</v>
      </c>
      <c r="L43" s="417">
        <v>0</v>
      </c>
      <c r="M43" s="446">
        <f t="shared" si="2"/>
        <v>0</v>
      </c>
      <c r="N43" s="328">
        <v>1757</v>
      </c>
      <c r="O43" s="450"/>
    </row>
    <row r="44" spans="1:15" ht="12.75" customHeight="1">
      <c r="A44" s="324" t="s">
        <v>148</v>
      </c>
      <c r="B44" s="325" t="s">
        <v>365</v>
      </c>
      <c r="C44" s="326"/>
      <c r="D44" s="326"/>
      <c r="E44" s="327">
        <f>C44+D44</f>
        <v>0</v>
      </c>
      <c r="F44" s="328">
        <v>11520</v>
      </c>
      <c r="G44" s="328"/>
      <c r="H44" s="328"/>
      <c r="I44" s="328"/>
      <c r="J44" s="328">
        <v>0</v>
      </c>
      <c r="K44" s="328">
        <v>0</v>
      </c>
      <c r="L44" s="417">
        <v>0</v>
      </c>
      <c r="M44" s="446">
        <f t="shared" si="2"/>
        <v>11520</v>
      </c>
      <c r="N44" s="328">
        <v>11520</v>
      </c>
      <c r="O44" s="450">
        <f t="shared" si="3"/>
        <v>1</v>
      </c>
    </row>
    <row r="45" spans="1:15" ht="12.75" customHeight="1" thickBot="1">
      <c r="A45" s="331" t="s">
        <v>364</v>
      </c>
      <c r="B45" s="344" t="s">
        <v>149</v>
      </c>
      <c r="C45" s="333"/>
      <c r="D45" s="333"/>
      <c r="E45" s="334">
        <f>C45+D45</f>
        <v>0</v>
      </c>
      <c r="F45" s="335">
        <v>31919</v>
      </c>
      <c r="G45" s="335"/>
      <c r="H45" s="335"/>
      <c r="I45" s="335"/>
      <c r="J45" s="328">
        <v>0</v>
      </c>
      <c r="K45" s="328">
        <v>0</v>
      </c>
      <c r="L45" s="417">
        <v>0</v>
      </c>
      <c r="M45" s="446">
        <f t="shared" si="2"/>
        <v>31919</v>
      </c>
      <c r="N45" s="335">
        <v>90327</v>
      </c>
      <c r="O45" s="451">
        <f t="shared" si="3"/>
        <v>2.8298818885303425</v>
      </c>
    </row>
    <row r="46" spans="1:15" ht="12.75" customHeight="1" thickBot="1">
      <c r="A46" s="314" t="s">
        <v>14</v>
      </c>
      <c r="B46" s="315" t="s">
        <v>15</v>
      </c>
      <c r="C46" s="316">
        <f>SUM(C47:C50)</f>
        <v>0</v>
      </c>
      <c r="D46" s="316">
        <f>SUM(D47:D50)</f>
        <v>0</v>
      </c>
      <c r="E46" s="336">
        <v>0</v>
      </c>
      <c r="F46" s="337">
        <v>0</v>
      </c>
      <c r="G46" s="337"/>
      <c r="H46" s="337"/>
      <c r="I46" s="337"/>
      <c r="J46" s="337">
        <v>1325510</v>
      </c>
      <c r="K46" s="337"/>
      <c r="L46" s="419">
        <v>800000</v>
      </c>
      <c r="M46" s="448">
        <f t="shared" si="2"/>
        <v>2125510</v>
      </c>
      <c r="N46" s="337">
        <v>2125560</v>
      </c>
      <c r="O46" s="453">
        <f t="shared" si="3"/>
        <v>1.0000235237660609</v>
      </c>
    </row>
    <row r="47" spans="1:15" ht="12.75" customHeight="1">
      <c r="A47" s="319"/>
      <c r="B47" s="345" t="s">
        <v>150</v>
      </c>
      <c r="C47" s="321"/>
      <c r="D47" s="321"/>
      <c r="E47" s="347"/>
      <c r="F47" s="323"/>
      <c r="G47" s="323"/>
      <c r="H47" s="323"/>
      <c r="I47" s="323"/>
      <c r="J47" s="323"/>
      <c r="K47" s="323"/>
      <c r="L47" s="416"/>
      <c r="M47" s="445">
        <f t="shared" si="2"/>
        <v>0</v>
      </c>
      <c r="N47" s="707"/>
      <c r="O47" s="708">
        <v>0</v>
      </c>
    </row>
    <row r="48" spans="1:15" ht="12.75" customHeight="1">
      <c r="A48" s="324"/>
      <c r="B48" s="325" t="s">
        <v>151</v>
      </c>
      <c r="C48" s="326"/>
      <c r="D48" s="326"/>
      <c r="E48" s="327">
        <v>0</v>
      </c>
      <c r="F48" s="328">
        <v>0</v>
      </c>
      <c r="G48" s="328"/>
      <c r="H48" s="328"/>
      <c r="I48" s="328"/>
      <c r="J48" s="328"/>
      <c r="K48" s="328"/>
      <c r="L48" s="417"/>
      <c r="M48" s="446">
        <f t="shared" si="2"/>
        <v>0</v>
      </c>
      <c r="N48" s="328">
        <v>1325560</v>
      </c>
      <c r="O48" s="450">
        <v>0</v>
      </c>
    </row>
    <row r="49" spans="1:15" ht="12.75" customHeight="1">
      <c r="A49" s="324"/>
      <c r="B49" s="325" t="s">
        <v>152</v>
      </c>
      <c r="C49" s="326"/>
      <c r="D49" s="326"/>
      <c r="E49" s="346"/>
      <c r="F49" s="328"/>
      <c r="G49" s="328"/>
      <c r="H49" s="328"/>
      <c r="I49" s="328"/>
      <c r="J49" s="328"/>
      <c r="K49" s="328"/>
      <c r="L49" s="417"/>
      <c r="M49" s="446">
        <f t="shared" si="2"/>
        <v>0</v>
      </c>
      <c r="N49" s="328">
        <v>800000</v>
      </c>
      <c r="O49" s="450">
        <v>0</v>
      </c>
    </row>
    <row r="50" spans="1:15" ht="12.75" customHeight="1" thickBot="1">
      <c r="A50" s="331"/>
      <c r="B50" s="344" t="s">
        <v>153</v>
      </c>
      <c r="C50" s="333"/>
      <c r="D50" s="333"/>
      <c r="E50" s="348"/>
      <c r="F50" s="335"/>
      <c r="G50" s="335"/>
      <c r="H50" s="335"/>
      <c r="I50" s="335"/>
      <c r="J50" s="335"/>
      <c r="K50" s="335"/>
      <c r="L50" s="418"/>
      <c r="M50" s="447">
        <f t="shared" si="2"/>
        <v>0</v>
      </c>
      <c r="N50" s="709"/>
      <c r="O50" s="710">
        <v>0</v>
      </c>
    </row>
    <row r="51" spans="1:15" ht="12.75" customHeight="1" thickBot="1">
      <c r="A51" s="314" t="s">
        <v>16</v>
      </c>
      <c r="B51" s="315" t="s">
        <v>17</v>
      </c>
      <c r="C51" s="316">
        <f>SUM(C52:C53)</f>
        <v>0</v>
      </c>
      <c r="D51" s="316">
        <f>SUM(D52:D53)</f>
        <v>0</v>
      </c>
      <c r="E51" s="336">
        <v>0</v>
      </c>
      <c r="F51" s="336">
        <v>0</v>
      </c>
      <c r="G51" s="336">
        <v>0</v>
      </c>
      <c r="H51" s="336">
        <v>0</v>
      </c>
      <c r="I51" s="336">
        <v>0</v>
      </c>
      <c r="J51" s="336">
        <v>0</v>
      </c>
      <c r="K51" s="336">
        <v>0</v>
      </c>
      <c r="L51" s="336">
        <v>0</v>
      </c>
      <c r="M51" s="448">
        <f t="shared" si="2"/>
        <v>0</v>
      </c>
      <c r="N51" s="337">
        <v>0</v>
      </c>
      <c r="O51" s="453">
        <v>0</v>
      </c>
    </row>
    <row r="52" spans="1:15" ht="12.75" customHeight="1">
      <c r="A52" s="319"/>
      <c r="B52" s="345" t="s">
        <v>154</v>
      </c>
      <c r="C52" s="321">
        <v>0</v>
      </c>
      <c r="D52" s="321"/>
      <c r="E52" s="322">
        <v>0</v>
      </c>
      <c r="F52" s="322"/>
      <c r="G52" s="322"/>
      <c r="H52" s="322"/>
      <c r="I52" s="322"/>
      <c r="J52" s="322"/>
      <c r="K52" s="322"/>
      <c r="L52" s="322"/>
      <c r="M52" s="445">
        <f t="shared" si="2"/>
        <v>0</v>
      </c>
      <c r="N52" s="703">
        <v>0</v>
      </c>
      <c r="O52" s="704">
        <v>0</v>
      </c>
    </row>
    <row r="53" spans="1:15" ht="12.75" customHeight="1" thickBot="1">
      <c r="A53" s="349"/>
      <c r="B53" s="350" t="s">
        <v>155</v>
      </c>
      <c r="C53" s="351"/>
      <c r="D53" s="351"/>
      <c r="E53" s="352">
        <v>0</v>
      </c>
      <c r="F53" s="352"/>
      <c r="G53" s="352"/>
      <c r="H53" s="352"/>
      <c r="I53" s="352"/>
      <c r="J53" s="352"/>
      <c r="K53" s="352"/>
      <c r="L53" s="352"/>
      <c r="M53" s="447">
        <f t="shared" si="2"/>
        <v>0</v>
      </c>
      <c r="N53" s="705">
        <v>0</v>
      </c>
      <c r="O53" s="706">
        <v>0</v>
      </c>
    </row>
    <row r="54" spans="1:15" ht="12.75" customHeight="1" thickBot="1">
      <c r="A54" s="314" t="s">
        <v>18</v>
      </c>
      <c r="B54" s="315" t="s">
        <v>19</v>
      </c>
      <c r="C54" s="316">
        <f>C55</f>
        <v>0</v>
      </c>
      <c r="D54" s="316">
        <f>D55</f>
        <v>0</v>
      </c>
      <c r="E54" s="336">
        <v>0</v>
      </c>
      <c r="F54" s="336">
        <v>0</v>
      </c>
      <c r="G54" s="336">
        <v>0</v>
      </c>
      <c r="H54" s="336">
        <v>0</v>
      </c>
      <c r="I54" s="336">
        <v>0</v>
      </c>
      <c r="J54" s="336">
        <v>0</v>
      </c>
      <c r="K54" s="336">
        <v>0</v>
      </c>
      <c r="L54" s="336">
        <v>0</v>
      </c>
      <c r="M54" s="448">
        <f t="shared" si="2"/>
        <v>0</v>
      </c>
      <c r="N54" s="337">
        <v>0</v>
      </c>
      <c r="O54" s="453">
        <v>0</v>
      </c>
    </row>
    <row r="55" spans="1:15" ht="12.75" customHeight="1" thickBot="1">
      <c r="A55" s="353"/>
      <c r="B55" s="354" t="s">
        <v>156</v>
      </c>
      <c r="C55" s="355"/>
      <c r="D55" s="355"/>
      <c r="E55" s="356">
        <v>0</v>
      </c>
      <c r="F55" s="337"/>
      <c r="G55" s="337"/>
      <c r="H55" s="337"/>
      <c r="I55" s="337"/>
      <c r="J55" s="337"/>
      <c r="K55" s="337"/>
      <c r="L55" s="419"/>
      <c r="M55" s="448">
        <f t="shared" si="2"/>
        <v>0</v>
      </c>
      <c r="N55" s="337">
        <v>0</v>
      </c>
      <c r="O55" s="453">
        <v>0</v>
      </c>
    </row>
    <row r="56" spans="1:15" ht="12.75" customHeight="1" thickBot="1">
      <c r="A56" s="314" t="s">
        <v>20</v>
      </c>
      <c r="B56" s="357" t="s">
        <v>21</v>
      </c>
      <c r="C56" s="358">
        <f>C8+C19+C20+C31+C46+C51+C54</f>
        <v>70469</v>
      </c>
      <c r="D56" s="358">
        <f>D8+D19+D20+D31+D46+D51+D54</f>
        <v>0</v>
      </c>
      <c r="E56" s="359">
        <f>E8+E19+E20+E31+E46+E51+E54</f>
        <v>30512000</v>
      </c>
      <c r="F56" s="337">
        <f aca="true" t="shared" si="11" ref="F56:L56">F54+F51+F46+F31+F20+F19+F8</f>
        <v>39195247</v>
      </c>
      <c r="G56" s="337" t="e">
        <f t="shared" si="11"/>
        <v>#VALUE!</v>
      </c>
      <c r="H56" s="337">
        <f t="shared" si="11"/>
        <v>0</v>
      </c>
      <c r="I56" s="337">
        <f t="shared" si="11"/>
        <v>0</v>
      </c>
      <c r="J56" s="337">
        <f t="shared" si="11"/>
        <v>18231348</v>
      </c>
      <c r="K56" s="337">
        <f t="shared" si="11"/>
        <v>1300000</v>
      </c>
      <c r="L56" s="337">
        <f t="shared" si="11"/>
        <v>8781679</v>
      </c>
      <c r="M56" s="448">
        <f>E56+F56+J56+K56+L56</f>
        <v>98020274</v>
      </c>
      <c r="N56" s="337">
        <f>N54+N51+N46+N31+N20+N19+N8</f>
        <v>99165291</v>
      </c>
      <c r="O56" s="453">
        <f t="shared" si="3"/>
        <v>1.0116814303130799</v>
      </c>
    </row>
    <row r="57" spans="1:15" ht="12.75" customHeight="1" thickBot="1">
      <c r="A57" s="314" t="s">
        <v>23</v>
      </c>
      <c r="B57" s="315" t="s">
        <v>22</v>
      </c>
      <c r="C57" s="316">
        <f>SUM(C58,C63,C66,C67)</f>
        <v>9971000</v>
      </c>
      <c r="D57" s="316">
        <f>SUM(D58,D63,D66,D67)</f>
        <v>0</v>
      </c>
      <c r="E57" s="336">
        <f>C57+D564</f>
        <v>9971000</v>
      </c>
      <c r="F57" s="337">
        <f>F58+F63+F66+F67+F62</f>
        <v>495460</v>
      </c>
      <c r="G57" s="337" t="e">
        <f aca="true" t="shared" si="12" ref="G57:L57">G58+G63+G66+G67+G62</f>
        <v>#VALUE!</v>
      </c>
      <c r="H57" s="337">
        <f t="shared" si="12"/>
        <v>6</v>
      </c>
      <c r="I57" s="337">
        <f t="shared" si="12"/>
        <v>8</v>
      </c>
      <c r="J57" s="337">
        <f t="shared" si="12"/>
        <v>0</v>
      </c>
      <c r="K57" s="337">
        <f t="shared" si="12"/>
        <v>0</v>
      </c>
      <c r="L57" s="337">
        <f t="shared" si="12"/>
        <v>1966000</v>
      </c>
      <c r="M57" s="448">
        <f>M58</f>
        <v>11201730</v>
      </c>
      <c r="N57" s="337">
        <f>N58</f>
        <v>11201730</v>
      </c>
      <c r="O57" s="453">
        <f t="shared" si="3"/>
        <v>1</v>
      </c>
    </row>
    <row r="58" spans="1:15" ht="12.75" customHeight="1">
      <c r="A58" s="319" t="s">
        <v>157</v>
      </c>
      <c r="B58" s="345" t="s">
        <v>158</v>
      </c>
      <c r="C58" s="321"/>
      <c r="D58" s="321"/>
      <c r="E58" s="322">
        <f>E59+E60+E61+E62+E63</f>
        <v>9971000</v>
      </c>
      <c r="F58" s="322">
        <f aca="true" t="shared" si="13" ref="F58:M58">F59+F60+F61+F62+F63</f>
        <v>247730</v>
      </c>
      <c r="G58" s="322">
        <f t="shared" si="13"/>
        <v>2</v>
      </c>
      <c r="H58" s="322">
        <f t="shared" si="13"/>
        <v>3</v>
      </c>
      <c r="I58" s="322">
        <f t="shared" si="13"/>
        <v>4</v>
      </c>
      <c r="J58" s="322">
        <f t="shared" si="13"/>
        <v>0</v>
      </c>
      <c r="K58" s="322">
        <f t="shared" si="13"/>
        <v>0</v>
      </c>
      <c r="L58" s="322">
        <f t="shared" si="13"/>
        <v>983000</v>
      </c>
      <c r="M58" s="322">
        <f t="shared" si="13"/>
        <v>11201730</v>
      </c>
      <c r="N58" s="323">
        <f>N59+N60+N61+N62+N63+N66+N67</f>
        <v>11201730</v>
      </c>
      <c r="O58" s="452">
        <f>N58/M58</f>
        <v>1</v>
      </c>
    </row>
    <row r="59" spans="1:15" ht="12.75" customHeight="1">
      <c r="A59" s="324"/>
      <c r="B59" s="325" t="s">
        <v>159</v>
      </c>
      <c r="C59" s="326"/>
      <c r="D59" s="326"/>
      <c r="E59" s="327">
        <v>0</v>
      </c>
      <c r="F59" s="327">
        <v>0</v>
      </c>
      <c r="G59" s="327">
        <v>0</v>
      </c>
      <c r="H59" s="327">
        <v>0</v>
      </c>
      <c r="I59" s="327">
        <v>0</v>
      </c>
      <c r="J59" s="327">
        <v>0</v>
      </c>
      <c r="K59" s="327">
        <v>0</v>
      </c>
      <c r="L59" s="417">
        <v>0</v>
      </c>
      <c r="M59" s="446">
        <f t="shared" si="2"/>
        <v>0</v>
      </c>
      <c r="N59" s="328">
        <v>0</v>
      </c>
      <c r="O59" s="450">
        <v>0</v>
      </c>
    </row>
    <row r="60" spans="1:15" ht="12.75" customHeight="1">
      <c r="A60" s="324"/>
      <c r="B60" s="325" t="s">
        <v>160</v>
      </c>
      <c r="C60" s="326"/>
      <c r="D60" s="326"/>
      <c r="E60" s="327">
        <v>0</v>
      </c>
      <c r="F60" s="327">
        <v>0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  <c r="L60" s="417">
        <v>0</v>
      </c>
      <c r="M60" s="446">
        <f t="shared" si="2"/>
        <v>0</v>
      </c>
      <c r="N60" s="328">
        <v>0</v>
      </c>
      <c r="O60" s="450">
        <v>0</v>
      </c>
    </row>
    <row r="61" spans="1:15" ht="12.75" customHeight="1">
      <c r="A61" s="324"/>
      <c r="B61" s="325" t="s">
        <v>161</v>
      </c>
      <c r="C61" s="326"/>
      <c r="D61" s="326"/>
      <c r="E61" s="346">
        <f>C61+D61</f>
        <v>0</v>
      </c>
      <c r="F61" s="346">
        <f aca="true" t="shared" si="14" ref="F61:K61">D61+E61</f>
        <v>0</v>
      </c>
      <c r="G61" s="346">
        <f t="shared" si="14"/>
        <v>0</v>
      </c>
      <c r="H61" s="346">
        <f t="shared" si="14"/>
        <v>0</v>
      </c>
      <c r="I61" s="346">
        <f t="shared" si="14"/>
        <v>0</v>
      </c>
      <c r="J61" s="346">
        <f t="shared" si="14"/>
        <v>0</v>
      </c>
      <c r="K61" s="346">
        <f t="shared" si="14"/>
        <v>0</v>
      </c>
      <c r="L61" s="417">
        <v>0</v>
      </c>
      <c r="M61" s="446">
        <f t="shared" si="2"/>
        <v>0</v>
      </c>
      <c r="N61" s="328">
        <v>0</v>
      </c>
      <c r="O61" s="450">
        <v>0</v>
      </c>
    </row>
    <row r="62" spans="1:15" ht="12.75" customHeight="1">
      <c r="A62" s="324" t="s">
        <v>396</v>
      </c>
      <c r="B62" s="325" t="s">
        <v>397</v>
      </c>
      <c r="C62" s="326"/>
      <c r="D62" s="326"/>
      <c r="E62" s="346">
        <v>0</v>
      </c>
      <c r="F62" s="346">
        <v>0</v>
      </c>
      <c r="G62" s="346">
        <v>2</v>
      </c>
      <c r="H62" s="346">
        <v>3</v>
      </c>
      <c r="I62" s="346">
        <v>4</v>
      </c>
      <c r="J62" s="346">
        <v>0</v>
      </c>
      <c r="K62" s="346">
        <v>0</v>
      </c>
      <c r="L62" s="417">
        <v>983000</v>
      </c>
      <c r="M62" s="446">
        <f t="shared" si="2"/>
        <v>983000</v>
      </c>
      <c r="N62" s="328">
        <v>983000</v>
      </c>
      <c r="O62" s="450">
        <f t="shared" si="3"/>
        <v>1</v>
      </c>
    </row>
    <row r="63" spans="1:15" ht="12.75" customHeight="1">
      <c r="A63" s="324" t="s">
        <v>162</v>
      </c>
      <c r="B63" s="330" t="s">
        <v>163</v>
      </c>
      <c r="C63" s="340">
        <f>C64+C65</f>
        <v>9971000</v>
      </c>
      <c r="D63" s="340"/>
      <c r="E63" s="341">
        <f>C63+D63</f>
        <v>9971000</v>
      </c>
      <c r="F63" s="343">
        <f aca="true" t="shared" si="15" ref="F63:K63">F64+F65</f>
        <v>247730</v>
      </c>
      <c r="G63" s="343">
        <f t="shared" si="15"/>
        <v>0</v>
      </c>
      <c r="H63" s="343">
        <f t="shared" si="15"/>
        <v>0</v>
      </c>
      <c r="I63" s="343">
        <f t="shared" si="15"/>
        <v>0</v>
      </c>
      <c r="J63" s="343">
        <f t="shared" si="15"/>
        <v>0</v>
      </c>
      <c r="K63" s="343">
        <f t="shared" si="15"/>
        <v>0</v>
      </c>
      <c r="L63" s="420">
        <v>0</v>
      </c>
      <c r="M63" s="446">
        <f t="shared" si="2"/>
        <v>10218730</v>
      </c>
      <c r="N63" s="328">
        <f>N64+N65</f>
        <v>10218730</v>
      </c>
      <c r="O63" s="450">
        <f t="shared" si="3"/>
        <v>1</v>
      </c>
    </row>
    <row r="64" spans="1:15" ht="12.75" customHeight="1">
      <c r="A64" s="324"/>
      <c r="B64" s="325" t="s">
        <v>164</v>
      </c>
      <c r="C64" s="326">
        <f>Önkormányzat!E19+Start!E19+Községgazd!G19+Könyvtár!H19+Ovi!E19+Közvilágítás!H19</f>
        <v>9971000</v>
      </c>
      <c r="D64" s="326"/>
      <c r="E64" s="327">
        <f>D64+C64</f>
        <v>9971000</v>
      </c>
      <c r="F64" s="328">
        <v>247730</v>
      </c>
      <c r="G64" s="328"/>
      <c r="H64" s="328"/>
      <c r="I64" s="328"/>
      <c r="J64" s="328">
        <v>0</v>
      </c>
      <c r="K64" s="328">
        <v>0</v>
      </c>
      <c r="L64" s="417">
        <v>0</v>
      </c>
      <c r="M64" s="446">
        <f t="shared" si="2"/>
        <v>10218730</v>
      </c>
      <c r="N64" s="328">
        <v>10218730</v>
      </c>
      <c r="O64" s="450">
        <f t="shared" si="3"/>
        <v>1</v>
      </c>
    </row>
    <row r="65" spans="1:15" ht="12.75" customHeight="1">
      <c r="A65" s="324"/>
      <c r="B65" s="325" t="s">
        <v>165</v>
      </c>
      <c r="C65" s="326"/>
      <c r="D65" s="326"/>
      <c r="E65" s="327">
        <v>0</v>
      </c>
      <c r="F65" s="328">
        <v>0</v>
      </c>
      <c r="G65" s="328"/>
      <c r="H65" s="328"/>
      <c r="I65" s="328"/>
      <c r="J65" s="328">
        <v>0</v>
      </c>
      <c r="K65" s="328">
        <v>0</v>
      </c>
      <c r="L65" s="417">
        <v>0</v>
      </c>
      <c r="M65" s="446">
        <f t="shared" si="2"/>
        <v>0</v>
      </c>
      <c r="N65" s="328">
        <v>0</v>
      </c>
      <c r="O65" s="450">
        <v>0</v>
      </c>
    </row>
    <row r="66" spans="1:15" ht="12.75" customHeight="1">
      <c r="A66" s="324" t="s">
        <v>166</v>
      </c>
      <c r="B66" s="325" t="s">
        <v>167</v>
      </c>
      <c r="C66" s="326">
        <v>11812</v>
      </c>
      <c r="D66" s="326"/>
      <c r="E66" s="327">
        <f>(D66+C66)*1000</f>
        <v>11812000</v>
      </c>
      <c r="F66" s="328">
        <v>74610</v>
      </c>
      <c r="G66" s="328" t="str">
        <f>IF(E66=(Önkormányzat!E21+Start!E20+Községgazd!G20+Könyvtár!H20+Ovi!E20+Közvilágítás!H20),"Egyenlő","Nem egyenlő")</f>
        <v>Egyenlő</v>
      </c>
      <c r="H66" s="328">
        <f>E66-(Önkormányzat!E21+Start!E20+Községgazd!G20+Könyvtár!H20+Ovi!E20+Közvilágítás!H20+Közút!E19)</f>
        <v>0</v>
      </c>
      <c r="I66" s="328"/>
      <c r="J66" s="328">
        <f>Ovi!G20</f>
        <v>313690</v>
      </c>
      <c r="K66" s="328">
        <v>0</v>
      </c>
      <c r="L66" s="417">
        <v>0</v>
      </c>
      <c r="M66" s="446">
        <f t="shared" si="2"/>
        <v>12200300</v>
      </c>
      <c r="N66" s="328">
        <v>13341795</v>
      </c>
      <c r="O66" s="450">
        <f t="shared" si="3"/>
        <v>1.0935628632082817</v>
      </c>
    </row>
    <row r="67" spans="1:15" ht="12.75" customHeight="1" thickBot="1">
      <c r="A67" s="331" t="s">
        <v>96</v>
      </c>
      <c r="B67" s="344" t="s">
        <v>168</v>
      </c>
      <c r="C67" s="333">
        <v>-11812</v>
      </c>
      <c r="D67" s="333"/>
      <c r="E67" s="327">
        <f>(D67+C67)*1000</f>
        <v>-11812000</v>
      </c>
      <c r="F67" s="335">
        <v>-74610</v>
      </c>
      <c r="G67" s="335"/>
      <c r="H67" s="335"/>
      <c r="I67" s="335"/>
      <c r="J67" s="335">
        <v>-313690</v>
      </c>
      <c r="K67" s="335">
        <v>0</v>
      </c>
      <c r="L67" s="418">
        <v>0</v>
      </c>
      <c r="M67" s="447">
        <f t="shared" si="2"/>
        <v>-12200300</v>
      </c>
      <c r="N67" s="335">
        <v>-13341795</v>
      </c>
      <c r="O67" s="451">
        <f t="shared" si="3"/>
        <v>1.0935628632082817</v>
      </c>
    </row>
    <row r="68" spans="1:15" ht="12.75" customHeight="1" thickBot="1">
      <c r="A68" s="314" t="s">
        <v>24</v>
      </c>
      <c r="B68" s="315" t="s">
        <v>25</v>
      </c>
      <c r="C68" s="316">
        <f aca="true" t="shared" si="16" ref="C68:L68">C56+C57</f>
        <v>10041469</v>
      </c>
      <c r="D68" s="316">
        <f t="shared" si="16"/>
        <v>0</v>
      </c>
      <c r="E68" s="336">
        <f>E56+E57</f>
        <v>40483000</v>
      </c>
      <c r="F68" s="337">
        <f t="shared" si="16"/>
        <v>39690707</v>
      </c>
      <c r="G68" s="337" t="e">
        <f t="shared" si="16"/>
        <v>#VALUE!</v>
      </c>
      <c r="H68" s="337">
        <f t="shared" si="16"/>
        <v>6</v>
      </c>
      <c r="I68" s="337">
        <f t="shared" si="16"/>
        <v>8</v>
      </c>
      <c r="J68" s="337">
        <f t="shared" si="16"/>
        <v>18231348</v>
      </c>
      <c r="K68" s="337">
        <f t="shared" si="16"/>
        <v>1300000</v>
      </c>
      <c r="L68" s="337">
        <f t="shared" si="16"/>
        <v>10747679</v>
      </c>
      <c r="M68" s="448">
        <f>M56+M57</f>
        <v>109222004</v>
      </c>
      <c r="N68" s="337">
        <f>N57+N56</f>
        <v>110367021</v>
      </c>
      <c r="O68" s="453">
        <f t="shared" si="3"/>
        <v>1.0104833912404683</v>
      </c>
    </row>
    <row r="69" spans="13:15" ht="12">
      <c r="M69" s="360"/>
      <c r="O69" s="443"/>
    </row>
    <row r="70" spans="13:15" ht="12">
      <c r="M70" s="360"/>
      <c r="O70" s="443"/>
    </row>
    <row r="71" spans="13:15" ht="12">
      <c r="M71" s="360"/>
      <c r="O71" s="443"/>
    </row>
    <row r="72" spans="13:15" ht="12">
      <c r="M72" s="360"/>
      <c r="O72" s="443"/>
    </row>
    <row r="73" spans="1:15" ht="12">
      <c r="A73" s="304" t="s">
        <v>472</v>
      </c>
      <c r="B73" s="305" t="str">
        <f>B1</f>
        <v>. melléklet az 5/2017. (V. 26.) önkormányzati rendelethez</v>
      </c>
      <c r="M73" s="360"/>
      <c r="O73" s="443"/>
    </row>
    <row r="74" spans="1:15" ht="12">
      <c r="A74" s="304"/>
      <c r="M74" s="360"/>
      <c r="O74" s="443"/>
    </row>
    <row r="75" spans="1:15" ht="12.75" customHeight="1">
      <c r="A75" s="858" t="s">
        <v>331</v>
      </c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</row>
    <row r="76" spans="1:15" ht="12" customHeight="1">
      <c r="A76" s="858" t="str">
        <f>A4</f>
        <v>2016. évi zárszámadás</v>
      </c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</row>
    <row r="77" spans="1:15" ht="12">
      <c r="A77" s="306"/>
      <c r="B77" s="306"/>
      <c r="C77" s="306"/>
      <c r="D77" s="306"/>
      <c r="E77" s="306"/>
      <c r="M77" s="360"/>
      <c r="O77" s="443"/>
    </row>
    <row r="78" spans="1:15" ht="12.75" thickBot="1">
      <c r="A78" s="307"/>
      <c r="B78" s="307"/>
      <c r="C78" s="307"/>
      <c r="D78" s="307"/>
      <c r="E78" s="308"/>
      <c r="M78" s="361"/>
      <c r="N78" s="361" t="s">
        <v>363</v>
      </c>
      <c r="O78" s="443"/>
    </row>
    <row r="79" spans="1:15" ht="36.75" thickBot="1">
      <c r="A79" s="309" t="s">
        <v>391</v>
      </c>
      <c r="B79" s="310" t="s">
        <v>104</v>
      </c>
      <c r="C79" s="310" t="s">
        <v>2</v>
      </c>
      <c r="D79" s="310" t="s">
        <v>3</v>
      </c>
      <c r="E79" s="311" t="s">
        <v>322</v>
      </c>
      <c r="F79" s="312" t="s">
        <v>356</v>
      </c>
      <c r="G79" s="312"/>
      <c r="H79" s="312" t="s">
        <v>194</v>
      </c>
      <c r="I79" s="312"/>
      <c r="J79" s="312" t="s">
        <v>357</v>
      </c>
      <c r="K79" s="312" t="s">
        <v>358</v>
      </c>
      <c r="L79" s="415" t="s">
        <v>393</v>
      </c>
      <c r="M79" s="415" t="s">
        <v>359</v>
      </c>
      <c r="N79" s="312" t="s">
        <v>398</v>
      </c>
      <c r="O79" s="313" t="s">
        <v>399</v>
      </c>
    </row>
    <row r="80" spans="1:15" ht="12.75" customHeight="1" thickBot="1">
      <c r="A80" s="314" t="s">
        <v>26</v>
      </c>
      <c r="B80" s="315" t="s">
        <v>27</v>
      </c>
      <c r="C80" s="316">
        <f>Önkormányzat!C24+Start!C24+Községgazd!C24+Könyvtár!C24+Ovi!C24+Közvilágítás!C24</f>
        <v>18375</v>
      </c>
      <c r="D80" s="316">
        <v>0</v>
      </c>
      <c r="E80" s="336">
        <f>Önkormányzat!E24+Start!E24+Községgazd!C24+Könyvtár!C24+Ovi!E24+Közút!C23</f>
        <v>18375000</v>
      </c>
      <c r="F80" s="337">
        <f>Önkormányzat!F24+Start!F24+Ovi!F24+Könyvtár!D24</f>
        <v>25078249</v>
      </c>
      <c r="G80" s="337"/>
      <c r="H80" s="337">
        <f>E80-(Önkormányzat!E24+Start!E24+Községgazd!G24+Könyvtár!H24+Ovi!E24+Közvilágítás!H24)</f>
        <v>-3500</v>
      </c>
      <c r="I80" s="337"/>
      <c r="J80" s="337">
        <f>Munka1!J76+Ovi!G24</f>
        <v>613826</v>
      </c>
      <c r="K80" s="337">
        <f>Munka1!K76+Ovi!H24</f>
        <v>220000</v>
      </c>
      <c r="L80" s="419">
        <f>Ovi!I24+Munka1!L76</f>
        <v>354577</v>
      </c>
      <c r="M80" s="419">
        <f>E80+F80+J80+K80+L80</f>
        <v>44641652</v>
      </c>
      <c r="N80" s="337">
        <v>44267680</v>
      </c>
      <c r="O80" s="453">
        <f aca="true" t="shared" si="17" ref="O80:O104">N80/M80</f>
        <v>0.9916228010558391</v>
      </c>
    </row>
    <row r="81" spans="1:15" ht="12.75" customHeight="1" thickBot="1">
      <c r="A81" s="314" t="s">
        <v>28</v>
      </c>
      <c r="B81" s="315" t="s">
        <v>169</v>
      </c>
      <c r="C81" s="316">
        <f>Önkormányzat!C37+Start!C37+Községgazd!C37+Könyvtár!C37+Ovi!C38+Közvilágítás!C38</f>
        <v>3950</v>
      </c>
      <c r="D81" s="316">
        <v>0</v>
      </c>
      <c r="E81" s="316">
        <f>Önkormányzat!E37+Start!E37+Községgazd!C37+Könyvtár!C37+Ovi!E38+Közút!C37</f>
        <v>3950000</v>
      </c>
      <c r="F81" s="337">
        <f>Önkormányzat!F37+Start!F37+Ovi!F38+Könyvtár!D37</f>
        <v>3824422</v>
      </c>
      <c r="G81" s="337"/>
      <c r="H81" s="337">
        <f>E81-(Önkormányzat!E37+Start!E37+Községgazd!G37+Könyvtár!H37+Ovi!E38+Közvilágítás!H38)</f>
        <v>-1750</v>
      </c>
      <c r="I81" s="337"/>
      <c r="J81" s="337">
        <f>Munka1!J89+Ovi!G38</f>
        <v>158350</v>
      </c>
      <c r="K81" s="337">
        <f>Munka1!K89+Ovi!H38</f>
        <v>0</v>
      </c>
      <c r="L81" s="419">
        <f>Ovi!I38+Munka1!L89</f>
        <v>7000</v>
      </c>
      <c r="M81" s="419">
        <f>E81+F81+J81+K81+L81</f>
        <v>7939772</v>
      </c>
      <c r="N81" s="337">
        <v>7559637</v>
      </c>
      <c r="O81" s="453">
        <f t="shared" si="17"/>
        <v>0.9521226806009039</v>
      </c>
    </row>
    <row r="82" spans="1:15" ht="12.75" customHeight="1" thickBot="1">
      <c r="A82" s="314" t="s">
        <v>29</v>
      </c>
      <c r="B82" s="315" t="s">
        <v>30</v>
      </c>
      <c r="C82" s="316">
        <f>Önkormányzat!E41+Start!E41+Községgazd!C41+Könyvtár!C41+Ovi!E42+Közút!C41</f>
        <v>9003000</v>
      </c>
      <c r="D82" s="316">
        <f>Önkormányzat!D41+Start!D41+Községgazd!E41+Könyvtár!D41+Ovi!D42+Közvilágítás!D42</f>
        <v>90571</v>
      </c>
      <c r="E82" s="316">
        <f>Önkormányzat!E41+Start!E41+Községgazd!C41+Könyvtár!C41+Ovi!E42+Közút!C41+Közvilágítás!C42</f>
        <v>9921000</v>
      </c>
      <c r="F82" s="337">
        <f>Önkormányzat!F41+Start!F41+Ovi!F42</f>
        <v>4255038</v>
      </c>
      <c r="G82" s="337"/>
      <c r="H82" s="337">
        <f>E82-(Önkormányzat!E41+Start!E41+Községgazd!G41+Könyvtár!H41+Ovi!E42+Közvilágítás!H42)</f>
        <v>-851900</v>
      </c>
      <c r="I82" s="337"/>
      <c r="J82" s="337">
        <f>Ovi!G42+Munka1!J93</f>
        <v>715667</v>
      </c>
      <c r="K82" s="337">
        <f>Ovi!H42+Munka1!K93</f>
        <v>506000</v>
      </c>
      <c r="L82" s="419">
        <f>Ovi!I42+Munka1!L93</f>
        <v>2318699</v>
      </c>
      <c r="M82" s="419">
        <f>E82+F82+J82+K82+L82</f>
        <v>17716404</v>
      </c>
      <c r="N82" s="337">
        <v>16964368</v>
      </c>
      <c r="O82" s="453">
        <f t="shared" si="17"/>
        <v>0.9575514308659929</v>
      </c>
    </row>
    <row r="83" spans="1:15" ht="12.75" customHeight="1" thickBot="1">
      <c r="A83" s="314" t="s">
        <v>31</v>
      </c>
      <c r="B83" s="315" t="s">
        <v>32</v>
      </c>
      <c r="C83" s="316">
        <f>Önkormányzat!C58</f>
        <v>2683</v>
      </c>
      <c r="D83" s="316">
        <v>0</v>
      </c>
      <c r="E83" s="316">
        <f>SUM(C83:D83)*1000</f>
        <v>2683000</v>
      </c>
      <c r="F83" s="337">
        <v>0</v>
      </c>
      <c r="G83" s="337"/>
      <c r="H83" s="337">
        <f>E83-(Önkormányzat!E58)</f>
        <v>0</v>
      </c>
      <c r="I83" s="337"/>
      <c r="J83" s="337">
        <v>0</v>
      </c>
      <c r="K83" s="337">
        <v>636300</v>
      </c>
      <c r="L83" s="419">
        <f>Munka1!L110</f>
        <v>182700</v>
      </c>
      <c r="M83" s="419">
        <f>E83+F83+J83+K83+L83</f>
        <v>3502000</v>
      </c>
      <c r="N83" s="337">
        <v>3501000</v>
      </c>
      <c r="O83" s="453">
        <f t="shared" si="17"/>
        <v>0.9997144488863506</v>
      </c>
    </row>
    <row r="84" spans="1:15" ht="12.75" customHeight="1" thickBot="1">
      <c r="A84" s="314" t="s">
        <v>33</v>
      </c>
      <c r="B84" s="315" t="s">
        <v>170</v>
      </c>
      <c r="C84" s="316">
        <f>SUM(C85:C89)</f>
        <v>3858</v>
      </c>
      <c r="D84" s="316">
        <f>SUM(D85:D89)</f>
        <v>150</v>
      </c>
      <c r="E84" s="316">
        <f>SUM(C84:D84)*1000</f>
        <v>4008000</v>
      </c>
      <c r="F84" s="337">
        <f>F85+F86+F87+F88+F89</f>
        <v>1392427</v>
      </c>
      <c r="G84" s="337">
        <f>G85+G86+G87+G88+G89</f>
        <v>0</v>
      </c>
      <c r="H84" s="337">
        <f>H85+H86+H87+H88+H89</f>
        <v>0</v>
      </c>
      <c r="I84" s="337">
        <f>I85+I86+I87+I88+I89</f>
        <v>0</v>
      </c>
      <c r="J84" s="337">
        <f>Munka1!J111</f>
        <v>-903554</v>
      </c>
      <c r="K84" s="337">
        <f>Munka1!K111</f>
        <v>-151200</v>
      </c>
      <c r="L84" s="337">
        <f>Munka1!L111</f>
        <v>6901703</v>
      </c>
      <c r="M84" s="419">
        <f>E84+F84+J84+K84+L84</f>
        <v>11247376</v>
      </c>
      <c r="N84" s="337">
        <f>N85+N86+N87+N88+N89+N90+N91</f>
        <v>2701091</v>
      </c>
      <c r="O84" s="453">
        <f t="shared" si="17"/>
        <v>0.2401529921290086</v>
      </c>
    </row>
    <row r="85" spans="1:15" ht="12.75" customHeight="1">
      <c r="A85" s="319" t="s">
        <v>171</v>
      </c>
      <c r="B85" s="345" t="s">
        <v>172</v>
      </c>
      <c r="C85" s="321">
        <f>18+191+900</f>
        <v>1109</v>
      </c>
      <c r="D85" s="321"/>
      <c r="E85" s="322">
        <f>(D85+C85)*1000</f>
        <v>1109000</v>
      </c>
      <c r="F85" s="323">
        <v>-29002</v>
      </c>
      <c r="G85" s="323"/>
      <c r="H85" s="323"/>
      <c r="I85" s="323"/>
      <c r="J85" s="323">
        <v>0</v>
      </c>
      <c r="K85" s="323">
        <v>0</v>
      </c>
      <c r="L85" s="323">
        <f>Munka1!L112</f>
        <v>0</v>
      </c>
      <c r="M85" s="416">
        <f aca="true" t="shared" si="18" ref="M85:M99">E85+F85+J85+K85</f>
        <v>1079998</v>
      </c>
      <c r="N85" s="323">
        <v>1054231</v>
      </c>
      <c r="O85" s="452">
        <f t="shared" si="17"/>
        <v>0.9761416224844861</v>
      </c>
    </row>
    <row r="86" spans="1:15" ht="12.75" customHeight="1">
      <c r="A86" s="324" t="s">
        <v>173</v>
      </c>
      <c r="B86" s="325" t="s">
        <v>174</v>
      </c>
      <c r="C86" s="326">
        <f>510+200</f>
        <v>710</v>
      </c>
      <c r="D86" s="326"/>
      <c r="E86" s="327">
        <f>(D86+C86)*1000</f>
        <v>710000</v>
      </c>
      <c r="F86" s="328">
        <v>0</v>
      </c>
      <c r="G86" s="328"/>
      <c r="H86" s="328"/>
      <c r="I86" s="328"/>
      <c r="J86" s="328">
        <v>0</v>
      </c>
      <c r="K86" s="328">
        <v>0</v>
      </c>
      <c r="L86" s="328">
        <f>Munka1!L113</f>
        <v>0</v>
      </c>
      <c r="M86" s="417">
        <f t="shared" si="18"/>
        <v>710000</v>
      </c>
      <c r="N86" s="328">
        <v>826855</v>
      </c>
      <c r="O86" s="450">
        <f t="shared" si="17"/>
        <v>1.1645845070422536</v>
      </c>
    </row>
    <row r="87" spans="1:15" ht="12.75" customHeight="1">
      <c r="A87" s="324" t="s">
        <v>175</v>
      </c>
      <c r="B87" s="325" t="s">
        <v>176</v>
      </c>
      <c r="C87" s="326"/>
      <c r="D87" s="326"/>
      <c r="E87" s="327">
        <v>0</v>
      </c>
      <c r="F87" s="328">
        <v>0</v>
      </c>
      <c r="G87" s="328"/>
      <c r="H87" s="328"/>
      <c r="I87" s="328"/>
      <c r="J87" s="328">
        <v>0</v>
      </c>
      <c r="K87" s="328">
        <v>0</v>
      </c>
      <c r="L87" s="328">
        <f>Munka1!L114</f>
        <v>0</v>
      </c>
      <c r="M87" s="417">
        <v>0</v>
      </c>
      <c r="N87" s="328">
        <v>0</v>
      </c>
      <c r="O87" s="450">
        <v>0</v>
      </c>
    </row>
    <row r="88" spans="1:15" ht="12.75" customHeight="1">
      <c r="A88" s="324" t="s">
        <v>178</v>
      </c>
      <c r="B88" s="325" t="s">
        <v>177</v>
      </c>
      <c r="C88" s="326">
        <v>39</v>
      </c>
      <c r="D88" s="326">
        <v>150</v>
      </c>
      <c r="E88" s="327">
        <f>(D88+C88)*1000</f>
        <v>189000</v>
      </c>
      <c r="F88" s="328">
        <v>500000</v>
      </c>
      <c r="G88" s="328"/>
      <c r="H88" s="328"/>
      <c r="I88" s="328"/>
      <c r="J88" s="328"/>
      <c r="K88" s="328">
        <f>Önkormányzat!H66</f>
        <v>0</v>
      </c>
      <c r="L88" s="328">
        <f>Munka1!L115</f>
        <v>132000</v>
      </c>
      <c r="M88" s="417">
        <f t="shared" si="18"/>
        <v>689000</v>
      </c>
      <c r="N88" s="328">
        <v>820005</v>
      </c>
      <c r="O88" s="450">
        <f t="shared" si="17"/>
        <v>1.1901378809869376</v>
      </c>
    </row>
    <row r="89" spans="1:15" ht="12.75" customHeight="1">
      <c r="A89" s="324" t="s">
        <v>362</v>
      </c>
      <c r="B89" s="325" t="s">
        <v>179</v>
      </c>
      <c r="C89" s="326">
        <v>2000</v>
      </c>
      <c r="D89" s="326"/>
      <c r="E89" s="327">
        <v>2000000</v>
      </c>
      <c r="F89" s="328">
        <f aca="true" t="shared" si="19" ref="F89:K89">F90+F91</f>
        <v>921429</v>
      </c>
      <c r="G89" s="328">
        <f t="shared" si="19"/>
        <v>0</v>
      </c>
      <c r="H89" s="328">
        <f t="shared" si="19"/>
        <v>0</v>
      </c>
      <c r="I89" s="328">
        <f t="shared" si="19"/>
        <v>0</v>
      </c>
      <c r="J89" s="328">
        <f t="shared" si="19"/>
        <v>-1065476</v>
      </c>
      <c r="K89" s="328">
        <f t="shared" si="19"/>
        <v>-151200</v>
      </c>
      <c r="L89" s="328">
        <f>Munka1!L116</f>
        <v>6769703</v>
      </c>
      <c r="M89" s="417">
        <f>E89+F89+J89+K89+L89</f>
        <v>8474456</v>
      </c>
      <c r="N89" s="328">
        <v>0</v>
      </c>
      <c r="O89" s="450">
        <f t="shared" si="17"/>
        <v>0</v>
      </c>
    </row>
    <row r="90" spans="1:15" ht="12.75" customHeight="1">
      <c r="A90" s="324"/>
      <c r="B90" s="325" t="s">
        <v>180</v>
      </c>
      <c r="C90" s="326"/>
      <c r="D90" s="326"/>
      <c r="E90" s="327">
        <v>2000000</v>
      </c>
      <c r="F90" s="328">
        <f>29467+891962</f>
        <v>921429</v>
      </c>
      <c r="G90" s="328"/>
      <c r="H90" s="328"/>
      <c r="I90" s="328"/>
      <c r="J90" s="328">
        <f>Önkormányzat!G67</f>
        <v>-1065476</v>
      </c>
      <c r="K90" s="328">
        <f>Önkormányzat!H67</f>
        <v>-151200</v>
      </c>
      <c r="L90" s="328">
        <f>Önkormányzat!I67</f>
        <v>6769703</v>
      </c>
      <c r="M90" s="417">
        <f>E90+F90+J90+K90+L90</f>
        <v>8474456</v>
      </c>
      <c r="N90" s="328">
        <v>0</v>
      </c>
      <c r="O90" s="450">
        <f t="shared" si="17"/>
        <v>0</v>
      </c>
    </row>
    <row r="91" spans="1:15" ht="12.75" customHeight="1" thickBot="1">
      <c r="A91" s="331"/>
      <c r="B91" s="344" t="s">
        <v>181</v>
      </c>
      <c r="C91" s="333"/>
      <c r="D91" s="333"/>
      <c r="E91" s="334">
        <v>0</v>
      </c>
      <c r="F91" s="335">
        <v>0</v>
      </c>
      <c r="G91" s="335"/>
      <c r="H91" s="335"/>
      <c r="I91" s="335"/>
      <c r="J91" s="335">
        <v>0</v>
      </c>
      <c r="K91" s="335">
        <v>0</v>
      </c>
      <c r="L91" s="335">
        <f>Munka1!L118</f>
        <v>0</v>
      </c>
      <c r="M91" s="418">
        <v>0</v>
      </c>
      <c r="N91" s="335">
        <v>0</v>
      </c>
      <c r="O91" s="451">
        <v>0</v>
      </c>
    </row>
    <row r="92" spans="1:15" ht="12.75" customHeight="1" thickBot="1">
      <c r="A92" s="314" t="s">
        <v>34</v>
      </c>
      <c r="B92" s="315" t="s">
        <v>35</v>
      </c>
      <c r="C92" s="316">
        <f>(Önkormányzat!C68+Önkormányzat!C69+Start!C60+Start!C61+Községgazd!C58+Községgazd!C59+Könyvtár!C57+Könyvtár!C58+Ovi!C58+Ovi!C59+Közvilágítás!C58+Közvilágítás!C59)</f>
        <v>506000</v>
      </c>
      <c r="D92" s="316"/>
      <c r="E92" s="316">
        <f>SUM(C92:D92)</f>
        <v>506000</v>
      </c>
      <c r="F92" s="337">
        <f>Önkormányzat!F68+Önkormányzat!F69+Start!F60+Start!F61+Ovi!F58+Ovi!F59</f>
        <v>4115134</v>
      </c>
      <c r="G92" s="337"/>
      <c r="H92" s="337">
        <f>E92-(Önkormányzat!E68+Önkormányzat!E69+Start!E60+Start!E61+Községgazd!G58+Községgazd!G59+Könyvtár!H57+Könyvtár!H58+Ovi!E58+Ovi!E59+Közvilágítás!H58+Közvilágítás!H59)</f>
        <v>0</v>
      </c>
      <c r="I92" s="337"/>
      <c r="J92" s="337">
        <f>Munka1!J119</f>
        <v>0</v>
      </c>
      <c r="K92" s="337">
        <f>Ovi!H58+Ovi!H59+Munka1!K119</f>
        <v>88900</v>
      </c>
      <c r="L92" s="419">
        <f>Ovi!I59+Ovi!I58+Munka1!L119</f>
        <v>0</v>
      </c>
      <c r="M92" s="419">
        <f t="shared" si="18"/>
        <v>4710034</v>
      </c>
      <c r="N92" s="337">
        <v>4599437</v>
      </c>
      <c r="O92" s="453">
        <f t="shared" si="17"/>
        <v>0.9765188531547755</v>
      </c>
    </row>
    <row r="93" spans="1:15" ht="12.75" customHeight="1" thickBot="1">
      <c r="A93" s="314" t="s">
        <v>36</v>
      </c>
      <c r="B93" s="315" t="s">
        <v>37</v>
      </c>
      <c r="C93" s="316">
        <f>Önkormányzat!E70+Önkormányzat!E71+Start!E62+Start!E63+Községgazd!C60+Községgazd!C61+Könyvtár!C59+Könyvtár!C60+Ovi!E60+Ovi!E61+Közvilágítás!C60+Közvilágítás!C61+Közút!C59+Közút!C60</f>
        <v>500000</v>
      </c>
      <c r="D93" s="316"/>
      <c r="E93" s="316">
        <f>SUM(C93:D93)</f>
        <v>500000</v>
      </c>
      <c r="F93" s="337">
        <v>0</v>
      </c>
      <c r="G93" s="337"/>
      <c r="H93" s="337">
        <f>E93-(Önkormányzat!E70+Önkormányzat!E71+Start!E62+Start!E63+Községgazd!G60+Községgazd!G61+Könyvtár!H59+Könyvtár!H60+Ovi!E60+Ovi!E61+Közvilágítás!H60+Közvilágítás!H61+Közút!E59+Közút!E60)</f>
        <v>-17647059</v>
      </c>
      <c r="I93" s="337"/>
      <c r="J93" s="337">
        <f>Munka1!J121</f>
        <v>17647059</v>
      </c>
      <c r="K93" s="337">
        <f>Munka1!K121+Ovi!H60</f>
        <v>0</v>
      </c>
      <c r="L93" s="419">
        <v>0</v>
      </c>
      <c r="M93" s="419">
        <f t="shared" si="18"/>
        <v>18147059</v>
      </c>
      <c r="N93" s="337">
        <v>0</v>
      </c>
      <c r="O93" s="453">
        <f t="shared" si="17"/>
        <v>0</v>
      </c>
    </row>
    <row r="94" spans="1:15" ht="12.75" customHeight="1" thickBot="1">
      <c r="A94" s="314" t="s">
        <v>38</v>
      </c>
      <c r="B94" s="315" t="s">
        <v>182</v>
      </c>
      <c r="C94" s="316"/>
      <c r="D94" s="316"/>
      <c r="E94" s="316">
        <v>0</v>
      </c>
      <c r="F94" s="337">
        <v>0</v>
      </c>
      <c r="G94" s="337"/>
      <c r="H94" s="337"/>
      <c r="I94" s="337"/>
      <c r="J94" s="337">
        <v>0</v>
      </c>
      <c r="K94" s="337">
        <v>0</v>
      </c>
      <c r="L94" s="419">
        <v>0</v>
      </c>
      <c r="M94" s="419">
        <v>0</v>
      </c>
      <c r="N94" s="337">
        <v>0</v>
      </c>
      <c r="O94" s="453">
        <v>0</v>
      </c>
    </row>
    <row r="95" spans="1:15" ht="12.75" customHeight="1" thickBot="1">
      <c r="A95" s="314" t="s">
        <v>39</v>
      </c>
      <c r="B95" s="315" t="s">
        <v>183</v>
      </c>
      <c r="C95" s="316">
        <f>C80+C81+C82+C83+C84+C92+C93+C94</f>
        <v>10037866</v>
      </c>
      <c r="D95" s="316">
        <f>D80+D81+D82+D83+D84+D92+D93+D94</f>
        <v>90721</v>
      </c>
      <c r="E95" s="316">
        <f>SUM(E80,E81,E82,E83,E84,E92,E93,E94)</f>
        <v>39943000</v>
      </c>
      <c r="F95" s="337">
        <f aca="true" t="shared" si="20" ref="F95:L95">F94+F93+F92+F84+F83+F82+F81+F80</f>
        <v>38665270</v>
      </c>
      <c r="G95" s="337">
        <f t="shared" si="20"/>
        <v>0</v>
      </c>
      <c r="H95" s="337">
        <f t="shared" si="20"/>
        <v>-18504209</v>
      </c>
      <c r="I95" s="337">
        <f t="shared" si="20"/>
        <v>0</v>
      </c>
      <c r="J95" s="337">
        <f t="shared" si="20"/>
        <v>18231348</v>
      </c>
      <c r="K95" s="337">
        <f t="shared" si="20"/>
        <v>1300000</v>
      </c>
      <c r="L95" s="337">
        <f t="shared" si="20"/>
        <v>9764679</v>
      </c>
      <c r="M95" s="419">
        <f>E95+F95+J95+K95+L95</f>
        <v>107904297</v>
      </c>
      <c r="N95" s="337">
        <f>N94+N93+N92+N84+N83+N82+N81+N80</f>
        <v>79593213</v>
      </c>
      <c r="O95" s="453">
        <f t="shared" si="17"/>
        <v>0.737627835154702</v>
      </c>
    </row>
    <row r="96" spans="1:15" ht="12.75" customHeight="1" thickBot="1">
      <c r="A96" s="314" t="s">
        <v>40</v>
      </c>
      <c r="B96" s="315" t="s">
        <v>41</v>
      </c>
      <c r="C96" s="316">
        <f>SUM(C97:C103)</f>
        <v>0</v>
      </c>
      <c r="D96" s="316">
        <f>SUM(D97:D103)</f>
        <v>540</v>
      </c>
      <c r="E96" s="316">
        <f>(D96+C96)*1000</f>
        <v>540000</v>
      </c>
      <c r="F96" s="337">
        <f>F97+F98+F100+F101+F102+F103+F99</f>
        <v>777707</v>
      </c>
      <c r="G96" s="337">
        <f>G97+G98+G100+G101+G102+G103</f>
        <v>0</v>
      </c>
      <c r="H96" s="337">
        <f>H97+H98+H100+H101+H102+H103</f>
        <v>0</v>
      </c>
      <c r="I96" s="337">
        <f>I97+I98+I100+I101+I102+I103</f>
        <v>0</v>
      </c>
      <c r="J96" s="337">
        <f>J97+J98+J100+J101+J102+J103</f>
        <v>0</v>
      </c>
      <c r="K96" s="337">
        <f>K97+K98+K100+K101+K102+K103</f>
        <v>0</v>
      </c>
      <c r="L96" s="419">
        <v>0</v>
      </c>
      <c r="M96" s="419">
        <f t="shared" si="18"/>
        <v>1317707</v>
      </c>
      <c r="N96" s="337">
        <f>N97+N99</f>
        <v>1317707</v>
      </c>
      <c r="O96" s="453">
        <f t="shared" si="17"/>
        <v>1</v>
      </c>
    </row>
    <row r="97" spans="1:15" ht="12.75" customHeight="1">
      <c r="A97" s="319"/>
      <c r="B97" s="345" t="s">
        <v>184</v>
      </c>
      <c r="C97" s="321"/>
      <c r="D97" s="321">
        <v>540</v>
      </c>
      <c r="E97" s="322">
        <f>(D97+C97)*1000</f>
        <v>540000</v>
      </c>
      <c r="F97" s="323">
        <v>0</v>
      </c>
      <c r="G97" s="323"/>
      <c r="H97" s="323"/>
      <c r="I97" s="323"/>
      <c r="J97" s="323">
        <v>0</v>
      </c>
      <c r="K97" s="323">
        <v>0</v>
      </c>
      <c r="L97" s="416">
        <v>0</v>
      </c>
      <c r="M97" s="416">
        <f t="shared" si="18"/>
        <v>540000</v>
      </c>
      <c r="N97" s="323">
        <v>540000</v>
      </c>
      <c r="O97" s="452">
        <f t="shared" si="17"/>
        <v>1</v>
      </c>
    </row>
    <row r="98" spans="1:15" ht="12.75" customHeight="1">
      <c r="A98" s="324"/>
      <c r="B98" s="325" t="s">
        <v>185</v>
      </c>
      <c r="C98" s="326"/>
      <c r="D98" s="326"/>
      <c r="E98" s="417">
        <v>0</v>
      </c>
      <c r="F98" s="417">
        <v>0</v>
      </c>
      <c r="G98" s="417">
        <v>0</v>
      </c>
      <c r="H98" s="417">
        <v>0</v>
      </c>
      <c r="I98" s="417">
        <v>0</v>
      </c>
      <c r="J98" s="417">
        <v>0</v>
      </c>
      <c r="K98" s="417">
        <v>0</v>
      </c>
      <c r="L98" s="417">
        <v>0</v>
      </c>
      <c r="M98" s="417">
        <v>0</v>
      </c>
      <c r="N98" s="328">
        <v>0</v>
      </c>
      <c r="O98" s="450">
        <v>0</v>
      </c>
    </row>
    <row r="99" spans="1:17" ht="12.75" customHeight="1">
      <c r="A99" s="324" t="s">
        <v>360</v>
      </c>
      <c r="B99" s="325" t="s">
        <v>361</v>
      </c>
      <c r="C99" s="326"/>
      <c r="D99" s="326"/>
      <c r="E99" s="327">
        <v>0</v>
      </c>
      <c r="F99" s="328">
        <v>777707</v>
      </c>
      <c r="G99" s="328"/>
      <c r="H99" s="328"/>
      <c r="I99" s="328"/>
      <c r="J99" s="328">
        <v>0</v>
      </c>
      <c r="K99" s="328">
        <v>0</v>
      </c>
      <c r="L99" s="417">
        <v>0</v>
      </c>
      <c r="M99" s="417">
        <f t="shared" si="18"/>
        <v>777707</v>
      </c>
      <c r="N99" s="328">
        <v>777707</v>
      </c>
      <c r="O99" s="450">
        <f t="shared" si="17"/>
        <v>1</v>
      </c>
      <c r="Q99" s="360"/>
    </row>
    <row r="100" spans="1:15" ht="12.75" customHeight="1">
      <c r="A100" s="324" t="s">
        <v>186</v>
      </c>
      <c r="B100" s="325" t="s">
        <v>187</v>
      </c>
      <c r="C100" s="326">
        <f>Start!E20+Községgazd!G20+Könyvtár!H20+Ovi!E20+Közvilágítás!H20+Közút!E19</f>
        <v>11812000</v>
      </c>
      <c r="D100" s="326"/>
      <c r="E100" s="327">
        <f>(D100+C100)</f>
        <v>11812000</v>
      </c>
      <c r="F100" s="328">
        <v>74610</v>
      </c>
      <c r="G100" s="328"/>
      <c r="H100" s="328"/>
      <c r="I100" s="328"/>
      <c r="J100" s="328">
        <v>313690</v>
      </c>
      <c r="K100" s="328">
        <v>504900</v>
      </c>
      <c r="L100" s="417">
        <f>Ovi!I20</f>
        <v>645716</v>
      </c>
      <c r="M100" s="417">
        <f>E100+F100+J100+K100+L100</f>
        <v>13350916</v>
      </c>
      <c r="N100" s="328">
        <v>13341795</v>
      </c>
      <c r="O100" s="450">
        <f t="shared" si="17"/>
        <v>0.9993168259016835</v>
      </c>
    </row>
    <row r="101" spans="1:15" ht="12.75" customHeight="1">
      <c r="A101" s="324"/>
      <c r="B101" s="325" t="s">
        <v>199</v>
      </c>
      <c r="C101" s="326">
        <v>-11812000</v>
      </c>
      <c r="D101" s="326"/>
      <c r="E101" s="327">
        <f>(D101+C101)</f>
        <v>-11812000</v>
      </c>
      <c r="F101" s="328">
        <v>-74610</v>
      </c>
      <c r="G101" s="328"/>
      <c r="H101" s="328"/>
      <c r="I101" s="328"/>
      <c r="J101" s="328">
        <v>-313690</v>
      </c>
      <c r="K101" s="328">
        <v>-504900</v>
      </c>
      <c r="L101" s="417">
        <f>-1*L100</f>
        <v>-645716</v>
      </c>
      <c r="M101" s="417">
        <f>E101+F101+J101+K101+L101</f>
        <v>-13350916</v>
      </c>
      <c r="N101" s="328">
        <v>-13341795</v>
      </c>
      <c r="O101" s="450">
        <f t="shared" si="17"/>
        <v>0.9993168259016835</v>
      </c>
    </row>
    <row r="102" spans="1:15" ht="12.75" customHeight="1">
      <c r="A102" s="324" t="s">
        <v>188</v>
      </c>
      <c r="B102" s="325" t="s">
        <v>189</v>
      </c>
      <c r="C102" s="326"/>
      <c r="D102" s="326"/>
      <c r="E102" s="346">
        <v>0</v>
      </c>
      <c r="F102" s="346">
        <v>0</v>
      </c>
      <c r="G102" s="346">
        <v>0</v>
      </c>
      <c r="H102" s="346">
        <v>0</v>
      </c>
      <c r="I102" s="346">
        <v>0</v>
      </c>
      <c r="J102" s="346">
        <v>0</v>
      </c>
      <c r="K102" s="346">
        <v>0</v>
      </c>
      <c r="L102" s="346">
        <v>0</v>
      </c>
      <c r="M102" s="417">
        <v>0</v>
      </c>
      <c r="N102" s="328">
        <v>0</v>
      </c>
      <c r="O102" s="450">
        <v>0</v>
      </c>
    </row>
    <row r="103" spans="1:15" ht="12.75" customHeight="1" thickBot="1">
      <c r="A103" s="331" t="s">
        <v>190</v>
      </c>
      <c r="B103" s="344" t="s">
        <v>191</v>
      </c>
      <c r="C103" s="333"/>
      <c r="D103" s="333"/>
      <c r="E103" s="348">
        <v>0</v>
      </c>
      <c r="F103" s="348">
        <v>0</v>
      </c>
      <c r="G103" s="348">
        <v>0</v>
      </c>
      <c r="H103" s="348">
        <v>0</v>
      </c>
      <c r="I103" s="348">
        <v>0</v>
      </c>
      <c r="J103" s="348">
        <v>0</v>
      </c>
      <c r="K103" s="348">
        <v>0</v>
      </c>
      <c r="L103" s="348">
        <v>0</v>
      </c>
      <c r="M103" s="418">
        <v>0</v>
      </c>
      <c r="N103" s="335">
        <v>0</v>
      </c>
      <c r="O103" s="451">
        <v>0</v>
      </c>
    </row>
    <row r="104" spans="1:15" ht="12.75" customHeight="1" thickBot="1">
      <c r="A104" s="314" t="s">
        <v>42</v>
      </c>
      <c r="B104" s="315" t="s">
        <v>43</v>
      </c>
      <c r="C104" s="316">
        <f>C95+C96</f>
        <v>10037866</v>
      </c>
      <c r="D104" s="316">
        <f>D96+D95</f>
        <v>91261</v>
      </c>
      <c r="E104" s="316">
        <f>SUM(E95,E96)</f>
        <v>40483000</v>
      </c>
      <c r="F104" s="337">
        <f aca="true" t="shared" si="21" ref="F104:L104">F95+F96</f>
        <v>39442977</v>
      </c>
      <c r="G104" s="337">
        <f t="shared" si="21"/>
        <v>0</v>
      </c>
      <c r="H104" s="337">
        <f t="shared" si="21"/>
        <v>-18504209</v>
      </c>
      <c r="I104" s="337">
        <f t="shared" si="21"/>
        <v>0</v>
      </c>
      <c r="J104" s="337">
        <f t="shared" si="21"/>
        <v>18231348</v>
      </c>
      <c r="K104" s="337">
        <f t="shared" si="21"/>
        <v>1300000</v>
      </c>
      <c r="L104" s="337">
        <f t="shared" si="21"/>
        <v>9764679</v>
      </c>
      <c r="M104" s="419">
        <f>E104+F104+J104+K104+L104</f>
        <v>109222004</v>
      </c>
      <c r="N104" s="337">
        <f>N96+N95</f>
        <v>80910920</v>
      </c>
      <c r="O104" s="453">
        <f t="shared" si="17"/>
        <v>0.7407932196519669</v>
      </c>
    </row>
    <row r="105" spans="1:8" ht="12" hidden="1">
      <c r="A105" s="362"/>
      <c r="B105" s="363" t="s">
        <v>43</v>
      </c>
      <c r="C105" s="364"/>
      <c r="D105" s="364"/>
      <c r="E105" s="365"/>
      <c r="G105" s="305" t="str">
        <f>IF(E68-E104&gt;0,"kiadáshoz kell","kiadásból elvenni")</f>
        <v>kiadásból elvenni</v>
      </c>
      <c r="H105" s="360">
        <f>E68-E104</f>
        <v>0</v>
      </c>
    </row>
    <row r="106" spans="1:5" ht="12" hidden="1">
      <c r="A106" s="366"/>
      <c r="B106" s="367" t="s">
        <v>192</v>
      </c>
      <c r="C106" s="368"/>
      <c r="D106" s="368"/>
      <c r="E106" s="369"/>
    </row>
    <row r="107" spans="1:5" ht="12.75" hidden="1" thickBot="1">
      <c r="A107" s="349"/>
      <c r="B107" s="370" t="s">
        <v>193</v>
      </c>
      <c r="C107" s="371">
        <v>0</v>
      </c>
      <c r="D107" s="371">
        <v>0</v>
      </c>
      <c r="E107" s="372">
        <v>0</v>
      </c>
    </row>
    <row r="109" spans="7:13" ht="12">
      <c r="G109" s="305" t="str">
        <f>IF(E68-E104&gt;0,"B&gt;K","K&gt;B")</f>
        <v>K&gt;B</v>
      </c>
      <c r="H109" s="360">
        <f>E68-E104</f>
        <v>0</v>
      </c>
      <c r="K109" s="360">
        <f>K104-K68</f>
        <v>0</v>
      </c>
      <c r="L109" s="360"/>
      <c r="M109" s="360"/>
    </row>
    <row r="110" spans="6:13" ht="12">
      <c r="F110" s="360"/>
      <c r="M110" s="360"/>
    </row>
  </sheetData>
  <sheetProtection/>
  <mergeCells count="4">
    <mergeCell ref="A4:O4"/>
    <mergeCell ref="A3:O3"/>
    <mergeCell ref="A75:O75"/>
    <mergeCell ref="A76:O76"/>
  </mergeCells>
  <printOptions horizontalCentered="1"/>
  <pageMargins left="0.31496062992125984" right="0.31496062992125984" top="0.15748031496062992" bottom="0.15748031496062992" header="0" footer="0"/>
  <pageSetup horizontalDpi="600" verticalDpi="600" orientation="portrait" paperSize="9" scale="90" r:id="rId3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0">
      <selection activeCell="N19" sqref="N19"/>
    </sheetView>
  </sheetViews>
  <sheetFormatPr defaultColWidth="9.140625" defaultRowHeight="15"/>
  <cols>
    <col min="2" max="2" width="41.7109375" style="0" customWidth="1"/>
    <col min="3" max="3" width="9.28125" style="0" hidden="1" customWidth="1"/>
    <col min="4" max="4" width="9.140625" style="0" hidden="1" customWidth="1"/>
    <col min="6" max="9" width="9.140625" style="0" hidden="1" customWidth="1"/>
  </cols>
  <sheetData>
    <row r="1" spans="1:5" ht="15">
      <c r="A1" s="68">
        <v>3</v>
      </c>
      <c r="B1" s="265" t="str">
        <f>Összevont!B1</f>
        <v>. melléklet az 5/2017. (V. 26.) önkormányzati rendelethez</v>
      </c>
      <c r="C1" s="265"/>
      <c r="D1" s="265"/>
      <c r="E1" s="265"/>
    </row>
    <row r="2" spans="1:5" ht="15">
      <c r="A2" s="265"/>
      <c r="B2" s="860"/>
      <c r="C2" s="860"/>
      <c r="D2" s="860"/>
      <c r="E2" s="860"/>
    </row>
    <row r="3" spans="1:12" ht="15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</row>
    <row r="4" spans="1:12" ht="15" customHeight="1">
      <c r="A4" s="866" t="str">
        <f>Összevont!A4</f>
        <v>2016. évi zárszámadás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12" ht="15" customHeight="1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</row>
    <row r="6" spans="1:5" ht="15">
      <c r="A6" s="859" t="s">
        <v>102</v>
      </c>
      <c r="B6" s="859"/>
      <c r="C6" s="859"/>
      <c r="D6" s="859"/>
      <c r="E6" s="859"/>
    </row>
    <row r="7" spans="1:10" ht="15.75" thickBot="1">
      <c r="A7" s="7"/>
      <c r="B7" s="7"/>
      <c r="C7" s="7"/>
      <c r="D7" s="7"/>
      <c r="E7" s="8"/>
      <c r="J7" s="68" t="s">
        <v>363</v>
      </c>
    </row>
    <row r="8" spans="1:12" ht="34.5" thickBot="1">
      <c r="A8" s="237" t="s">
        <v>0</v>
      </c>
      <c r="B8" s="238" t="s">
        <v>1</v>
      </c>
      <c r="C8" s="238" t="s">
        <v>2</v>
      </c>
      <c r="D8" s="238" t="s">
        <v>3</v>
      </c>
      <c r="E8" s="263" t="s">
        <v>322</v>
      </c>
      <c r="F8" s="264" t="s">
        <v>356</v>
      </c>
      <c r="G8" s="264" t="s">
        <v>357</v>
      </c>
      <c r="H8" s="264" t="s">
        <v>358</v>
      </c>
      <c r="I8" s="433" t="s">
        <v>393</v>
      </c>
      <c r="J8" s="433" t="s">
        <v>359</v>
      </c>
      <c r="K8" s="31" t="s">
        <v>398</v>
      </c>
      <c r="L8" s="501" t="s">
        <v>399</v>
      </c>
    </row>
    <row r="9" spans="1:12" ht="12" customHeight="1" thickBot="1">
      <c r="A9" s="861" t="s">
        <v>44</v>
      </c>
      <c r="B9" s="862"/>
      <c r="C9" s="862"/>
      <c r="D9" s="862"/>
      <c r="E9" s="862"/>
      <c r="F9" s="862"/>
      <c r="G9" s="862"/>
      <c r="H9" s="862"/>
      <c r="I9" s="863"/>
      <c r="J9" s="863"/>
      <c r="K9" s="41"/>
      <c r="L9" s="283"/>
    </row>
    <row r="10" spans="1:12" ht="12" customHeight="1" thickBot="1">
      <c r="A10" s="9" t="s">
        <v>6</v>
      </c>
      <c r="B10" s="10" t="s">
        <v>7</v>
      </c>
      <c r="C10" s="11"/>
      <c r="D10" s="11"/>
      <c r="E10" s="11">
        <f>C10+D10</f>
        <v>0</v>
      </c>
      <c r="F10" s="252">
        <v>0</v>
      </c>
      <c r="G10" s="252">
        <v>0</v>
      </c>
      <c r="H10" s="252">
        <v>0</v>
      </c>
      <c r="I10" s="424">
        <v>0</v>
      </c>
      <c r="J10" s="424">
        <f aca="true" t="shared" si="0" ref="J10:J17">E10+F10+G10+H10</f>
        <v>0</v>
      </c>
      <c r="K10" s="260">
        <v>0</v>
      </c>
      <c r="L10" s="483">
        <v>0</v>
      </c>
    </row>
    <row r="11" spans="1:12" ht="12" customHeight="1" thickBot="1">
      <c r="A11" s="9" t="s">
        <v>8</v>
      </c>
      <c r="B11" s="10" t="s">
        <v>45</v>
      </c>
      <c r="C11" s="11"/>
      <c r="D11" s="11"/>
      <c r="E11" s="11">
        <f aca="true" t="shared" si="1" ref="E11:E16">C11+D11</f>
        <v>0</v>
      </c>
      <c r="F11" s="252">
        <v>0</v>
      </c>
      <c r="G11" s="252">
        <v>0</v>
      </c>
      <c r="H11" s="252">
        <v>0</v>
      </c>
      <c r="I11" s="424">
        <v>0</v>
      </c>
      <c r="J11" s="424">
        <f t="shared" si="0"/>
        <v>0</v>
      </c>
      <c r="K11" s="260">
        <v>0</v>
      </c>
      <c r="L11" s="483">
        <v>0</v>
      </c>
    </row>
    <row r="12" spans="1:12" ht="12" customHeight="1" thickBot="1">
      <c r="A12" s="9" t="s">
        <v>9</v>
      </c>
      <c r="B12" s="10" t="s">
        <v>10</v>
      </c>
      <c r="C12" s="11"/>
      <c r="D12" s="11"/>
      <c r="E12" s="11">
        <f t="shared" si="1"/>
        <v>0</v>
      </c>
      <c r="F12" s="252">
        <v>0</v>
      </c>
      <c r="G12" s="252">
        <v>0</v>
      </c>
      <c r="H12" s="252">
        <v>0</v>
      </c>
      <c r="I12" s="424">
        <v>0</v>
      </c>
      <c r="J12" s="424">
        <f t="shared" si="0"/>
        <v>0</v>
      </c>
      <c r="K12" s="260">
        <v>0</v>
      </c>
      <c r="L12" s="483">
        <v>0</v>
      </c>
    </row>
    <row r="13" spans="1:12" ht="12" customHeight="1" thickBot="1">
      <c r="A13" s="9" t="s">
        <v>11</v>
      </c>
      <c r="B13" s="10" t="s">
        <v>12</v>
      </c>
      <c r="C13" s="11">
        <v>41</v>
      </c>
      <c r="D13" s="11"/>
      <c r="E13" s="11">
        <f>(C13+D13)*1000</f>
        <v>41000</v>
      </c>
      <c r="F13" s="252">
        <v>465</v>
      </c>
      <c r="G13" s="252">
        <v>0</v>
      </c>
      <c r="H13" s="252">
        <v>0</v>
      </c>
      <c r="I13" s="424">
        <v>0</v>
      </c>
      <c r="J13" s="424">
        <f t="shared" si="0"/>
        <v>41465</v>
      </c>
      <c r="K13" s="260">
        <v>21626</v>
      </c>
      <c r="L13" s="483">
        <f aca="true" t="shared" si="2" ref="L13:L55">K13/J13</f>
        <v>0.5215482937417099</v>
      </c>
    </row>
    <row r="14" spans="1:12" ht="12" customHeight="1" thickBot="1">
      <c r="A14" s="9" t="s">
        <v>14</v>
      </c>
      <c r="B14" s="10" t="s">
        <v>15</v>
      </c>
      <c r="C14" s="11"/>
      <c r="D14" s="11"/>
      <c r="E14" s="11">
        <f t="shared" si="1"/>
        <v>0</v>
      </c>
      <c r="F14" s="252">
        <v>0</v>
      </c>
      <c r="G14" s="252">
        <v>0</v>
      </c>
      <c r="H14" s="252">
        <v>0</v>
      </c>
      <c r="I14" s="424">
        <v>0</v>
      </c>
      <c r="J14" s="424">
        <f t="shared" si="0"/>
        <v>0</v>
      </c>
      <c r="K14" s="260">
        <v>0</v>
      </c>
      <c r="L14" s="483">
        <v>0</v>
      </c>
    </row>
    <row r="15" spans="1:12" ht="12" customHeight="1" thickBot="1">
      <c r="A15" s="9" t="s">
        <v>16</v>
      </c>
      <c r="B15" s="10" t="s">
        <v>17</v>
      </c>
      <c r="C15" s="11"/>
      <c r="D15" s="11"/>
      <c r="E15" s="11">
        <f t="shared" si="1"/>
        <v>0</v>
      </c>
      <c r="F15" s="252">
        <v>0</v>
      </c>
      <c r="G15" s="252">
        <v>0</v>
      </c>
      <c r="H15" s="252">
        <v>0</v>
      </c>
      <c r="I15" s="424">
        <v>0</v>
      </c>
      <c r="J15" s="424">
        <f t="shared" si="0"/>
        <v>0</v>
      </c>
      <c r="K15" s="260">
        <v>0</v>
      </c>
      <c r="L15" s="483">
        <v>0</v>
      </c>
    </row>
    <row r="16" spans="1:12" ht="12" customHeight="1" thickBot="1">
      <c r="A16" s="9" t="s">
        <v>18</v>
      </c>
      <c r="B16" s="10" t="s">
        <v>19</v>
      </c>
      <c r="C16" s="11"/>
      <c r="D16" s="11"/>
      <c r="E16" s="11">
        <f t="shared" si="1"/>
        <v>0</v>
      </c>
      <c r="F16" s="252">
        <v>0</v>
      </c>
      <c r="G16" s="252">
        <v>0</v>
      </c>
      <c r="H16" s="252">
        <v>0</v>
      </c>
      <c r="I16" s="424">
        <v>0</v>
      </c>
      <c r="J16" s="424">
        <f t="shared" si="0"/>
        <v>0</v>
      </c>
      <c r="K16" s="260">
        <v>0</v>
      </c>
      <c r="L16" s="483">
        <v>0</v>
      </c>
    </row>
    <row r="17" spans="1:12" ht="12" customHeight="1" thickBot="1">
      <c r="A17" s="9" t="s">
        <v>20</v>
      </c>
      <c r="B17" s="12" t="s">
        <v>21</v>
      </c>
      <c r="C17" s="13">
        <f>SUM(C10:C16)</f>
        <v>41</v>
      </c>
      <c r="D17" s="13">
        <f>SUM(D10:D16)</f>
        <v>0</v>
      </c>
      <c r="E17" s="13">
        <f>(C17+D17)*1000</f>
        <v>41000</v>
      </c>
      <c r="F17" s="252">
        <f>F15+F14+F13+F12+F11+F10</f>
        <v>465</v>
      </c>
      <c r="G17" s="252">
        <f>G15+G14+G13+G12+G11+G10</f>
        <v>0</v>
      </c>
      <c r="H17" s="252">
        <f>H15+H14+H13+H12+H11+H10</f>
        <v>0</v>
      </c>
      <c r="I17" s="252">
        <f>I15+I14+I13+I12+I11+I10</f>
        <v>0</v>
      </c>
      <c r="J17" s="424">
        <f t="shared" si="0"/>
        <v>41465</v>
      </c>
      <c r="K17" s="260">
        <f>SUM(K10:K16)</f>
        <v>21626</v>
      </c>
      <c r="L17" s="483">
        <f t="shared" si="2"/>
        <v>0.5215482937417099</v>
      </c>
    </row>
    <row r="18" spans="1:12" ht="12" customHeight="1" thickBot="1">
      <c r="A18" s="9" t="s">
        <v>23</v>
      </c>
      <c r="B18" s="10" t="s">
        <v>22</v>
      </c>
      <c r="C18" s="11">
        <f>SUM(C19:C20)</f>
        <v>11817</v>
      </c>
      <c r="D18" s="11">
        <f>SUM(D19:D20)</f>
        <v>0</v>
      </c>
      <c r="E18" s="11">
        <f>(C18+D18)*1000</f>
        <v>11817000</v>
      </c>
      <c r="F18" s="252">
        <f>F19+F20</f>
        <v>74145</v>
      </c>
      <c r="G18" s="252">
        <f>G19+G20</f>
        <v>313690</v>
      </c>
      <c r="H18" s="252">
        <f>H19+H20</f>
        <v>504900</v>
      </c>
      <c r="I18" s="252">
        <f>I19+I20</f>
        <v>645716</v>
      </c>
      <c r="J18" s="424">
        <f>E18+F18+G18+H18+I18</f>
        <v>13355451</v>
      </c>
      <c r="K18" s="260">
        <f>SUM(K19:K20)</f>
        <v>13346330</v>
      </c>
      <c r="L18" s="483">
        <f t="shared" si="2"/>
        <v>0.9993170578814597</v>
      </c>
    </row>
    <row r="19" spans="1:12" ht="12" customHeight="1">
      <c r="A19" s="38"/>
      <c r="B19" s="14" t="s">
        <v>46</v>
      </c>
      <c r="C19" s="15">
        <v>5</v>
      </c>
      <c r="D19" s="15"/>
      <c r="E19" s="241">
        <f>(C19+D19)*1000</f>
        <v>5000</v>
      </c>
      <c r="F19" s="249">
        <v>-465</v>
      </c>
      <c r="G19" s="249">
        <v>0</v>
      </c>
      <c r="H19" s="249">
        <v>0</v>
      </c>
      <c r="I19" s="428">
        <v>0</v>
      </c>
      <c r="J19" s="428">
        <f>E19+F19+G19+H19</f>
        <v>4535</v>
      </c>
      <c r="K19" s="478">
        <v>4535</v>
      </c>
      <c r="L19" s="489">
        <f t="shared" si="2"/>
        <v>1</v>
      </c>
    </row>
    <row r="20" spans="1:12" ht="12" customHeight="1" thickBot="1">
      <c r="A20" s="40"/>
      <c r="B20" s="16" t="s">
        <v>47</v>
      </c>
      <c r="C20" s="17">
        <v>11812</v>
      </c>
      <c r="D20" s="17"/>
      <c r="E20" s="257">
        <f>(C20+D20)*1000</f>
        <v>11812000</v>
      </c>
      <c r="F20" s="251">
        <v>74610</v>
      </c>
      <c r="G20" s="251">
        <v>313690</v>
      </c>
      <c r="H20" s="251">
        <v>504900</v>
      </c>
      <c r="I20" s="427">
        <v>645716</v>
      </c>
      <c r="J20" s="427">
        <f>E20+F20+G20+H20+I20</f>
        <v>13350916</v>
      </c>
      <c r="K20" s="481">
        <v>13341795</v>
      </c>
      <c r="L20" s="491">
        <f t="shared" si="2"/>
        <v>0.9993168259016835</v>
      </c>
    </row>
    <row r="21" spans="1:12" ht="12" customHeight="1" thickBot="1">
      <c r="A21" s="9" t="s">
        <v>24</v>
      </c>
      <c r="B21" s="10" t="s">
        <v>25</v>
      </c>
      <c r="C21" s="11">
        <f>C17+C18</f>
        <v>11858</v>
      </c>
      <c r="D21" s="11">
        <f>D16+D18</f>
        <v>0</v>
      </c>
      <c r="E21" s="55">
        <f>(C21+D21)*1000</f>
        <v>11858000</v>
      </c>
      <c r="F21" s="252">
        <f>F18+F17</f>
        <v>74610</v>
      </c>
      <c r="G21" s="252">
        <f>G18+G17</f>
        <v>313690</v>
      </c>
      <c r="H21" s="252">
        <f>H18+H17</f>
        <v>504900</v>
      </c>
      <c r="I21" s="252">
        <f>I18+I17</f>
        <v>645716</v>
      </c>
      <c r="J21" s="424">
        <f>E21+F21+G21+H21+I21</f>
        <v>13396916</v>
      </c>
      <c r="K21" s="260">
        <f>K18+K17</f>
        <v>13367956</v>
      </c>
      <c r="L21" s="483">
        <f t="shared" si="2"/>
        <v>0.9978383084584541</v>
      </c>
    </row>
    <row r="22" spans="1:12" ht="12" customHeight="1" thickBot="1">
      <c r="A22" s="18"/>
      <c r="B22" s="18"/>
      <c r="C22" s="19"/>
      <c r="D22" s="19"/>
      <c r="E22" s="19"/>
      <c r="F22" s="265"/>
      <c r="G22" s="265"/>
      <c r="H22" s="265"/>
      <c r="I22" s="265"/>
      <c r="J22" s="266"/>
      <c r="K22" s="482"/>
      <c r="L22" s="483"/>
    </row>
    <row r="23" spans="1:12" ht="12" customHeight="1" thickBot="1">
      <c r="A23" s="864" t="s">
        <v>48</v>
      </c>
      <c r="B23" s="865"/>
      <c r="C23" s="865"/>
      <c r="D23" s="865"/>
      <c r="E23" s="865"/>
      <c r="F23" s="865"/>
      <c r="G23" s="865"/>
      <c r="H23" s="865"/>
      <c r="I23" s="865"/>
      <c r="J23" s="865"/>
      <c r="K23" s="41"/>
      <c r="L23" s="283"/>
    </row>
    <row r="24" spans="1:12" ht="12" customHeight="1" thickBot="1">
      <c r="A24" s="9" t="s">
        <v>26</v>
      </c>
      <c r="B24" s="10" t="s">
        <v>27</v>
      </c>
      <c r="C24" s="11">
        <f>SUM(C25+C34)</f>
        <v>7897</v>
      </c>
      <c r="D24" s="11">
        <f>SUM(D25:D37)</f>
        <v>0</v>
      </c>
      <c r="E24" s="55">
        <f>(C24+D24)*1000</f>
        <v>7897000</v>
      </c>
      <c r="F24" s="252">
        <f>F25+F34</f>
        <v>23000</v>
      </c>
      <c r="G24" s="252">
        <f>G25+G34</f>
        <v>247000</v>
      </c>
      <c r="H24" s="252">
        <f>H25+H34</f>
        <v>0</v>
      </c>
      <c r="I24" s="252">
        <f>I25+I34</f>
        <v>24900</v>
      </c>
      <c r="J24" s="252">
        <f>E24+F24+G24+H24+I24</f>
        <v>8191900</v>
      </c>
      <c r="K24" s="260">
        <f>K25+K34</f>
        <v>8190975</v>
      </c>
      <c r="L24" s="483">
        <f t="shared" si="2"/>
        <v>0.9998870835825633</v>
      </c>
    </row>
    <row r="25" spans="1:12" ht="12" customHeight="1">
      <c r="A25" s="38" t="s">
        <v>49</v>
      </c>
      <c r="B25" s="14" t="s">
        <v>50</v>
      </c>
      <c r="C25" s="15">
        <f>SUM(C26:C33)</f>
        <v>7897</v>
      </c>
      <c r="D25" s="15">
        <f>SUM(D26:D33)</f>
        <v>0</v>
      </c>
      <c r="E25" s="241">
        <f>(C25+D25)*1000</f>
        <v>7897000</v>
      </c>
      <c r="F25" s="249">
        <f>SUM(F26:F33)</f>
        <v>23000</v>
      </c>
      <c r="G25" s="249">
        <f>SUM(G26:G33)</f>
        <v>247000</v>
      </c>
      <c r="H25" s="249">
        <f>SUM(H26:H33)</f>
        <v>0</v>
      </c>
      <c r="I25" s="249">
        <f>SUM(I26:I33)</f>
        <v>24900</v>
      </c>
      <c r="J25" s="249">
        <f>E25+F25+G25+H25+I25</f>
        <v>8191900</v>
      </c>
      <c r="K25" s="478">
        <f>SUM(K26:K33)</f>
        <v>8190975</v>
      </c>
      <c r="L25" s="489">
        <f t="shared" si="2"/>
        <v>0.9998870835825633</v>
      </c>
    </row>
    <row r="26" spans="1:12" ht="12" customHeight="1">
      <c r="A26" s="34"/>
      <c r="B26" s="20" t="s">
        <v>51</v>
      </c>
      <c r="C26" s="21">
        <v>7867</v>
      </c>
      <c r="D26" s="21"/>
      <c r="E26" s="241">
        <f>(C26+D26)*1000</f>
        <v>7867000</v>
      </c>
      <c r="F26" s="250">
        <f>-135500+23000</f>
        <v>-112500</v>
      </c>
      <c r="G26" s="250">
        <v>112500</v>
      </c>
      <c r="H26" s="250">
        <v>0</v>
      </c>
      <c r="I26" s="426">
        <v>25700</v>
      </c>
      <c r="J26" s="250">
        <f>E26+F26+G26+H26+I26</f>
        <v>7892700</v>
      </c>
      <c r="K26" s="474">
        <v>7892300</v>
      </c>
      <c r="L26" s="490">
        <f t="shared" si="2"/>
        <v>0.9999493202579599</v>
      </c>
    </row>
    <row r="27" spans="1:12" ht="12" customHeight="1">
      <c r="A27" s="34"/>
      <c r="B27" s="20" t="s">
        <v>52</v>
      </c>
      <c r="C27" s="21"/>
      <c r="D27" s="21"/>
      <c r="E27" s="241">
        <f aca="true" t="shared" si="3" ref="E27:E41">C27+D27</f>
        <v>0</v>
      </c>
      <c r="F27" s="241">
        <f aca="true" t="shared" si="4" ref="F27:I28">D27+E27</f>
        <v>0</v>
      </c>
      <c r="G27" s="241">
        <f t="shared" si="4"/>
        <v>0</v>
      </c>
      <c r="H27" s="241">
        <f t="shared" si="4"/>
        <v>0</v>
      </c>
      <c r="I27" s="241">
        <f t="shared" si="4"/>
        <v>0</v>
      </c>
      <c r="J27" s="250">
        <f aca="true" t="shared" si="5" ref="J27:J37">E27+F27+G27+H27+I27</f>
        <v>0</v>
      </c>
      <c r="K27" s="474">
        <v>0</v>
      </c>
      <c r="L27" s="490">
        <v>0</v>
      </c>
    </row>
    <row r="28" spans="1:12" ht="12" customHeight="1">
      <c r="A28" s="34"/>
      <c r="B28" s="20" t="s">
        <v>53</v>
      </c>
      <c r="C28" s="21"/>
      <c r="D28" s="21"/>
      <c r="E28" s="241">
        <f t="shared" si="3"/>
        <v>0</v>
      </c>
      <c r="F28" s="241">
        <f t="shared" si="4"/>
        <v>0</v>
      </c>
      <c r="G28" s="241">
        <f t="shared" si="4"/>
        <v>0</v>
      </c>
      <c r="H28" s="241">
        <f t="shared" si="4"/>
        <v>0</v>
      </c>
      <c r="I28" s="241">
        <f t="shared" si="4"/>
        <v>0</v>
      </c>
      <c r="J28" s="250">
        <f t="shared" si="5"/>
        <v>0</v>
      </c>
      <c r="K28" s="474">
        <v>0</v>
      </c>
      <c r="L28" s="490">
        <v>0</v>
      </c>
    </row>
    <row r="29" spans="1:12" ht="12" customHeight="1">
      <c r="A29" s="34"/>
      <c r="B29" s="20" t="s">
        <v>196</v>
      </c>
      <c r="C29" s="21"/>
      <c r="D29" s="21"/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50">
        <f t="shared" si="5"/>
        <v>0</v>
      </c>
      <c r="K29" s="474">
        <v>0</v>
      </c>
      <c r="L29" s="490">
        <v>0</v>
      </c>
    </row>
    <row r="30" spans="1:12" ht="12" customHeight="1">
      <c r="A30" s="34"/>
      <c r="B30" s="20" t="s">
        <v>103</v>
      </c>
      <c r="C30" s="21"/>
      <c r="D30" s="21"/>
      <c r="E30" s="241">
        <f t="shared" si="3"/>
        <v>0</v>
      </c>
      <c r="F30" s="241">
        <f>D30+E30</f>
        <v>0</v>
      </c>
      <c r="G30" s="241">
        <f>E30+F30</f>
        <v>0</v>
      </c>
      <c r="H30" s="241">
        <f>F30+G30</f>
        <v>0</v>
      </c>
      <c r="I30" s="241">
        <f>G30+H30</f>
        <v>0</v>
      </c>
      <c r="J30" s="250">
        <f t="shared" si="5"/>
        <v>0</v>
      </c>
      <c r="K30" s="474">
        <v>0</v>
      </c>
      <c r="L30" s="490">
        <v>0</v>
      </c>
    </row>
    <row r="31" spans="1:12" ht="12" customHeight="1">
      <c r="A31" s="34"/>
      <c r="B31" s="20" t="s">
        <v>55</v>
      </c>
      <c r="C31" s="21">
        <v>30</v>
      </c>
      <c r="D31" s="21"/>
      <c r="E31" s="241">
        <f>1000*(C31+D31)</f>
        <v>30000</v>
      </c>
      <c r="F31" s="250">
        <v>0</v>
      </c>
      <c r="G31" s="250">
        <v>0</v>
      </c>
      <c r="H31" s="250">
        <v>0</v>
      </c>
      <c r="I31" s="426">
        <v>-1000</v>
      </c>
      <c r="J31" s="250">
        <f t="shared" si="5"/>
        <v>29000</v>
      </c>
      <c r="K31" s="474">
        <v>28475</v>
      </c>
      <c r="L31" s="490">
        <f t="shared" si="2"/>
        <v>0.9818965517241379</v>
      </c>
    </row>
    <row r="32" spans="1:12" ht="12" customHeight="1">
      <c r="A32" s="34"/>
      <c r="B32" s="20" t="s">
        <v>56</v>
      </c>
      <c r="C32" s="21"/>
      <c r="D32" s="21"/>
      <c r="E32" s="241">
        <f t="shared" si="3"/>
        <v>0</v>
      </c>
      <c r="F32" s="250">
        <v>0</v>
      </c>
      <c r="G32" s="250">
        <v>0</v>
      </c>
      <c r="H32" s="250">
        <v>0</v>
      </c>
      <c r="I32" s="426">
        <v>0</v>
      </c>
      <c r="J32" s="250">
        <f t="shared" si="5"/>
        <v>0</v>
      </c>
      <c r="K32" s="474">
        <v>0</v>
      </c>
      <c r="L32" s="490">
        <v>0</v>
      </c>
    </row>
    <row r="33" spans="1:12" ht="12" customHeight="1">
      <c r="A33" s="34"/>
      <c r="B33" s="20" t="s">
        <v>57</v>
      </c>
      <c r="C33" s="21"/>
      <c r="D33" s="21"/>
      <c r="E33" s="241">
        <f t="shared" si="3"/>
        <v>0</v>
      </c>
      <c r="F33" s="250">
        <v>135500</v>
      </c>
      <c r="G33" s="250">
        <v>134500</v>
      </c>
      <c r="H33" s="250">
        <v>0</v>
      </c>
      <c r="I33" s="426">
        <v>200</v>
      </c>
      <c r="J33" s="250">
        <f t="shared" si="5"/>
        <v>270200</v>
      </c>
      <c r="K33" s="474">
        <v>270200</v>
      </c>
      <c r="L33" s="490">
        <f t="shared" si="2"/>
        <v>1</v>
      </c>
    </row>
    <row r="34" spans="1:12" ht="12" customHeight="1">
      <c r="A34" s="34" t="s">
        <v>58</v>
      </c>
      <c r="B34" s="20" t="s">
        <v>59</v>
      </c>
      <c r="C34" s="21">
        <f>SUM(C35:C37)</f>
        <v>0</v>
      </c>
      <c r="D34" s="21">
        <f>SUM(D35:D37)</f>
        <v>0</v>
      </c>
      <c r="E34" s="62">
        <f>SUM(E35:E37)</f>
        <v>0</v>
      </c>
      <c r="F34" s="250">
        <f>SUM(F35:F37)</f>
        <v>0</v>
      </c>
      <c r="G34" s="250">
        <f>SUM(G35:G37)</f>
        <v>0</v>
      </c>
      <c r="H34" s="250">
        <v>0</v>
      </c>
      <c r="I34" s="426">
        <v>0</v>
      </c>
      <c r="J34" s="250">
        <f t="shared" si="5"/>
        <v>0</v>
      </c>
      <c r="K34" s="474">
        <v>0</v>
      </c>
      <c r="L34" s="490">
        <v>0</v>
      </c>
    </row>
    <row r="35" spans="1:12" ht="12" customHeight="1">
      <c r="A35" s="34"/>
      <c r="B35" s="20" t="s">
        <v>60</v>
      </c>
      <c r="C35" s="21"/>
      <c r="D35" s="21"/>
      <c r="E35" s="241">
        <f t="shared" si="3"/>
        <v>0</v>
      </c>
      <c r="F35" s="241">
        <f aca="true" t="shared" si="6" ref="F35:I37">D35+E35</f>
        <v>0</v>
      </c>
      <c r="G35" s="241">
        <f t="shared" si="6"/>
        <v>0</v>
      </c>
      <c r="H35" s="241">
        <f t="shared" si="6"/>
        <v>0</v>
      </c>
      <c r="I35" s="241">
        <f t="shared" si="6"/>
        <v>0</v>
      </c>
      <c r="J35" s="250">
        <f t="shared" si="5"/>
        <v>0</v>
      </c>
      <c r="K35" s="474">
        <v>0</v>
      </c>
      <c r="L35" s="490">
        <v>0</v>
      </c>
    </row>
    <row r="36" spans="1:12" ht="12" customHeight="1">
      <c r="A36" s="34"/>
      <c r="B36" s="20" t="s">
        <v>85</v>
      </c>
      <c r="C36" s="21"/>
      <c r="D36" s="21"/>
      <c r="E36" s="241">
        <f t="shared" si="3"/>
        <v>0</v>
      </c>
      <c r="F36" s="241">
        <f t="shared" si="6"/>
        <v>0</v>
      </c>
      <c r="G36" s="241">
        <f t="shared" si="6"/>
        <v>0</v>
      </c>
      <c r="H36" s="241">
        <f t="shared" si="6"/>
        <v>0</v>
      </c>
      <c r="I36" s="241">
        <f t="shared" si="6"/>
        <v>0</v>
      </c>
      <c r="J36" s="250">
        <f t="shared" si="5"/>
        <v>0</v>
      </c>
      <c r="K36" s="481">
        <v>0</v>
      </c>
      <c r="L36" s="491">
        <v>0</v>
      </c>
    </row>
    <row r="37" spans="1:12" ht="12" customHeight="1" thickBot="1">
      <c r="A37" s="40"/>
      <c r="B37" s="16" t="s">
        <v>61</v>
      </c>
      <c r="C37" s="17"/>
      <c r="D37" s="17"/>
      <c r="E37" s="241">
        <f t="shared" si="3"/>
        <v>0</v>
      </c>
      <c r="F37" s="241">
        <f t="shared" si="6"/>
        <v>0</v>
      </c>
      <c r="G37" s="241">
        <f t="shared" si="6"/>
        <v>0</v>
      </c>
      <c r="H37" s="241">
        <f t="shared" si="6"/>
        <v>0</v>
      </c>
      <c r="I37" s="241">
        <f t="shared" si="6"/>
        <v>0</v>
      </c>
      <c r="J37" s="250">
        <f t="shared" si="5"/>
        <v>0</v>
      </c>
      <c r="K37" s="505">
        <v>0</v>
      </c>
      <c r="L37" s="491">
        <v>0</v>
      </c>
    </row>
    <row r="38" spans="1:12" ht="12" customHeight="1" thickBot="1">
      <c r="A38" s="9" t="s">
        <v>28</v>
      </c>
      <c r="B38" s="22" t="s">
        <v>84</v>
      </c>
      <c r="C38" s="11">
        <f>SUM(C39:C41)</f>
        <v>2124</v>
      </c>
      <c r="D38" s="11">
        <f>SUM(D39:D41)</f>
        <v>0</v>
      </c>
      <c r="E38" s="55">
        <f>(C38+D38)*1000</f>
        <v>2124000</v>
      </c>
      <c r="F38" s="252">
        <f>F39+F40+F41</f>
        <v>6210</v>
      </c>
      <c r="G38" s="252">
        <f>G39+G40+G41</f>
        <v>66690</v>
      </c>
      <c r="H38" s="252">
        <f>H39+H40+H41</f>
        <v>0</v>
      </c>
      <c r="I38" s="252">
        <f>I39+I40+I41</f>
        <v>7000</v>
      </c>
      <c r="J38" s="252">
        <f>E38+F38+G38+H38+I38</f>
        <v>2203900</v>
      </c>
      <c r="K38" s="260">
        <f>SUM(K39:K41)</f>
        <v>2203875</v>
      </c>
      <c r="L38" s="480">
        <f t="shared" si="2"/>
        <v>0.9999886564726167</v>
      </c>
    </row>
    <row r="39" spans="1:12" ht="12" customHeight="1">
      <c r="A39" s="34"/>
      <c r="B39" s="20" t="s">
        <v>62</v>
      </c>
      <c r="C39" s="15">
        <v>2124</v>
      </c>
      <c r="D39" s="21"/>
      <c r="E39" s="241">
        <f>(C39+D39)*1000</f>
        <v>2124000</v>
      </c>
      <c r="F39" s="249">
        <v>6210</v>
      </c>
      <c r="G39" s="249">
        <v>66690</v>
      </c>
      <c r="H39" s="249">
        <v>0</v>
      </c>
      <c r="I39" s="428">
        <v>7000</v>
      </c>
      <c r="J39" s="249">
        <f>E39+F39+G39+H39+I39</f>
        <v>2203900</v>
      </c>
      <c r="K39" s="533">
        <v>2203875</v>
      </c>
      <c r="L39" s="534">
        <f t="shared" si="2"/>
        <v>0.9999886564726167</v>
      </c>
    </row>
    <row r="40" spans="1:12" ht="12" customHeight="1">
      <c r="A40" s="34"/>
      <c r="B40" s="20" t="s">
        <v>63</v>
      </c>
      <c r="C40" s="21"/>
      <c r="D40" s="21"/>
      <c r="E40" s="241">
        <f t="shared" si="3"/>
        <v>0</v>
      </c>
      <c r="F40" s="241">
        <f aca="true" t="shared" si="7" ref="F40:I41">D40+E40</f>
        <v>0</v>
      </c>
      <c r="G40" s="241">
        <f t="shared" si="7"/>
        <v>0</v>
      </c>
      <c r="H40" s="241">
        <f t="shared" si="7"/>
        <v>0</v>
      </c>
      <c r="I40" s="241">
        <f t="shared" si="7"/>
        <v>0</v>
      </c>
      <c r="J40" s="250">
        <f>E40+F40+G40+H40</f>
        <v>0</v>
      </c>
      <c r="K40" s="532">
        <v>0</v>
      </c>
      <c r="L40" s="535">
        <v>0</v>
      </c>
    </row>
    <row r="41" spans="1:12" ht="12" customHeight="1" thickBot="1">
      <c r="A41" s="40"/>
      <c r="B41" s="16" t="s">
        <v>64</v>
      </c>
      <c r="C41" s="17"/>
      <c r="D41" s="17"/>
      <c r="E41" s="242">
        <f t="shared" si="3"/>
        <v>0</v>
      </c>
      <c r="F41" s="242">
        <f t="shared" si="7"/>
        <v>0</v>
      </c>
      <c r="G41" s="242">
        <f t="shared" si="7"/>
        <v>0</v>
      </c>
      <c r="H41" s="242">
        <f t="shared" si="7"/>
        <v>0</v>
      </c>
      <c r="I41" s="242">
        <f t="shared" si="7"/>
        <v>0</v>
      </c>
      <c r="J41" s="251">
        <f>E41+F41+G41+H41</f>
        <v>0</v>
      </c>
      <c r="K41" s="531">
        <v>0</v>
      </c>
      <c r="L41" s="535">
        <v>0</v>
      </c>
    </row>
    <row r="42" spans="1:12" ht="12" customHeight="1" thickBot="1">
      <c r="A42" s="9" t="s">
        <v>29</v>
      </c>
      <c r="B42" s="10" t="s">
        <v>30</v>
      </c>
      <c r="C42" s="11">
        <f>SUM(C43+C44+C45+C52+C53)</f>
        <v>1837</v>
      </c>
      <c r="D42" s="11">
        <f>SUM(D43:D55)</f>
        <v>0</v>
      </c>
      <c r="E42" s="55">
        <f aca="true" t="shared" si="8" ref="E42:E47">(C42+D42)*1000</f>
        <v>1837000</v>
      </c>
      <c r="F42" s="252">
        <f>F43+F44+F45+F52+F53</f>
        <v>-46168</v>
      </c>
      <c r="G42" s="252">
        <f>G43+G44+G45+G52+G53</f>
        <v>0</v>
      </c>
      <c r="H42" s="252">
        <f>H43+H44+H45+H52+H53</f>
        <v>416000</v>
      </c>
      <c r="I42" s="252">
        <f>I43+I44+I45+I52+I53</f>
        <v>613816</v>
      </c>
      <c r="J42" s="252">
        <f>E42+F42+G42+H42+I42</f>
        <v>2820648</v>
      </c>
      <c r="K42" s="260">
        <f>K43+K44+K45+K52+K53</f>
        <v>2786547</v>
      </c>
      <c r="L42" s="483">
        <f>K42/J42</f>
        <v>0.9879102248844946</v>
      </c>
    </row>
    <row r="43" spans="1:12" ht="12" customHeight="1">
      <c r="A43" s="38" t="s">
        <v>65</v>
      </c>
      <c r="B43" s="14" t="s">
        <v>67</v>
      </c>
      <c r="C43" s="65">
        <f>47+41+13+37+26</f>
        <v>164</v>
      </c>
      <c r="D43" s="15"/>
      <c r="E43" s="241">
        <f t="shared" si="8"/>
        <v>164000</v>
      </c>
      <c r="F43" s="249">
        <v>3684</v>
      </c>
      <c r="G43" s="249">
        <v>0</v>
      </c>
      <c r="H43" s="249"/>
      <c r="I43" s="428">
        <v>36316</v>
      </c>
      <c r="J43" s="249">
        <f>E43+F43+G43+H43+I43</f>
        <v>204000</v>
      </c>
      <c r="K43" s="532">
        <v>203804</v>
      </c>
      <c r="L43" s="536">
        <f t="shared" si="2"/>
        <v>0.9990392156862745</v>
      </c>
    </row>
    <row r="44" spans="1:12" ht="12" customHeight="1">
      <c r="A44" s="34" t="s">
        <v>66</v>
      </c>
      <c r="B44" s="20" t="s">
        <v>68</v>
      </c>
      <c r="C44" s="66">
        <v>35</v>
      </c>
      <c r="D44" s="21"/>
      <c r="E44" s="241">
        <f t="shared" si="8"/>
        <v>35000</v>
      </c>
      <c r="F44" s="250">
        <v>0</v>
      </c>
      <c r="G44" s="250">
        <v>0</v>
      </c>
      <c r="H44" s="250">
        <v>0</v>
      </c>
      <c r="I44" s="426">
        <v>0</v>
      </c>
      <c r="J44" s="250">
        <f>E44+F44+G44+H44+I44</f>
        <v>35000</v>
      </c>
      <c r="K44" s="532">
        <v>32792</v>
      </c>
      <c r="L44" s="536">
        <f t="shared" si="2"/>
        <v>0.9369142857142857</v>
      </c>
    </row>
    <row r="45" spans="1:12" ht="12" customHeight="1">
      <c r="A45" s="34" t="s">
        <v>69</v>
      </c>
      <c r="B45" s="20" t="s">
        <v>70</v>
      </c>
      <c r="C45" s="66">
        <f>SUM(C46:C51)</f>
        <v>1399</v>
      </c>
      <c r="D45" s="21"/>
      <c r="E45" s="241">
        <f t="shared" si="8"/>
        <v>1399000</v>
      </c>
      <c r="F45" s="250">
        <f>SUM(F46:F51)</f>
        <v>10392</v>
      </c>
      <c r="G45" s="250">
        <f>SUM(G46:G51)</f>
        <v>0</v>
      </c>
      <c r="H45" s="250">
        <f>SUM(H46:H51)</f>
        <v>416000</v>
      </c>
      <c r="I45" s="250">
        <f>SUM(I46:I51)</f>
        <v>401500</v>
      </c>
      <c r="J45" s="250">
        <f>E45+F45+G45+H45+I45</f>
        <v>2226892</v>
      </c>
      <c r="K45" s="532">
        <f>SUM(K46:K51)</f>
        <v>2196235</v>
      </c>
      <c r="L45" s="536">
        <f t="shared" si="2"/>
        <v>0.9862332793866968</v>
      </c>
    </row>
    <row r="46" spans="1:12" ht="12" customHeight="1">
      <c r="A46" s="34"/>
      <c r="B46" s="20" t="s">
        <v>91</v>
      </c>
      <c r="C46" s="66">
        <v>550</v>
      </c>
      <c r="D46" s="21"/>
      <c r="E46" s="241">
        <f t="shared" si="8"/>
        <v>550000</v>
      </c>
      <c r="F46" s="250">
        <v>376244</v>
      </c>
      <c r="G46" s="250">
        <v>0</v>
      </c>
      <c r="H46" s="250">
        <v>273000</v>
      </c>
      <c r="I46" s="426">
        <v>-200000</v>
      </c>
      <c r="J46" s="250">
        <f aca="true" t="shared" si="9" ref="J46:J55">E46+F46+G46+H46+I46</f>
        <v>999244</v>
      </c>
      <c r="K46" s="532">
        <v>971186</v>
      </c>
      <c r="L46" s="536">
        <f t="shared" si="2"/>
        <v>0.9719207721037104</v>
      </c>
    </row>
    <row r="47" spans="1:12" ht="12" customHeight="1">
      <c r="A47" s="34"/>
      <c r="B47" s="23" t="s">
        <v>97</v>
      </c>
      <c r="C47" s="66">
        <v>774</v>
      </c>
      <c r="D47" s="21"/>
      <c r="E47" s="241">
        <f t="shared" si="8"/>
        <v>774000</v>
      </c>
      <c r="F47" s="250">
        <v>-365852</v>
      </c>
      <c r="G47" s="250">
        <v>0</v>
      </c>
      <c r="H47" s="250">
        <v>0</v>
      </c>
      <c r="I47" s="426">
        <v>595500</v>
      </c>
      <c r="J47" s="250">
        <f t="shared" si="9"/>
        <v>1003648</v>
      </c>
      <c r="K47" s="532">
        <v>1003511</v>
      </c>
      <c r="L47" s="536">
        <f t="shared" si="2"/>
        <v>0.999863497959444</v>
      </c>
    </row>
    <row r="48" spans="1:12" ht="12" customHeight="1">
      <c r="A48" s="34"/>
      <c r="B48" s="20" t="s">
        <v>71</v>
      </c>
      <c r="C48" s="66"/>
      <c r="D48" s="21"/>
      <c r="E48" s="241">
        <f aca="true" t="shared" si="10" ref="E48:E65">C48+D48</f>
        <v>0</v>
      </c>
      <c r="F48" s="241">
        <f>D48+E48</f>
        <v>0</v>
      </c>
      <c r="G48" s="241">
        <f>E48+F48</f>
        <v>0</v>
      </c>
      <c r="H48" s="241">
        <f>F48+G48</f>
        <v>0</v>
      </c>
      <c r="I48" s="241">
        <f>G48+H48</f>
        <v>0</v>
      </c>
      <c r="J48" s="250">
        <f t="shared" si="9"/>
        <v>0</v>
      </c>
      <c r="K48" s="532">
        <v>0</v>
      </c>
      <c r="L48" s="536">
        <v>0</v>
      </c>
    </row>
    <row r="49" spans="1:12" ht="12" customHeight="1">
      <c r="A49" s="34"/>
      <c r="B49" s="20" t="s">
        <v>92</v>
      </c>
      <c r="C49" s="66"/>
      <c r="D49" s="21"/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50">
        <f t="shared" si="9"/>
        <v>0</v>
      </c>
      <c r="K49" s="532">
        <v>0</v>
      </c>
      <c r="L49" s="536">
        <v>0</v>
      </c>
    </row>
    <row r="50" spans="1:12" ht="12" customHeight="1">
      <c r="A50" s="34"/>
      <c r="B50" s="20" t="s">
        <v>72</v>
      </c>
      <c r="C50" s="66"/>
      <c r="D50" s="21"/>
      <c r="E50" s="241">
        <f t="shared" si="10"/>
        <v>0</v>
      </c>
      <c r="F50" s="250">
        <v>0</v>
      </c>
      <c r="G50" s="250">
        <v>0</v>
      </c>
      <c r="H50" s="250">
        <v>140000</v>
      </c>
      <c r="I50" s="426">
        <v>0</v>
      </c>
      <c r="J50" s="250">
        <f t="shared" si="9"/>
        <v>140000</v>
      </c>
      <c r="K50" s="532">
        <v>138315</v>
      </c>
      <c r="L50" s="536">
        <f t="shared" si="2"/>
        <v>0.9879642857142857</v>
      </c>
    </row>
    <row r="51" spans="1:12" ht="12" customHeight="1">
      <c r="A51" s="34"/>
      <c r="B51" s="20" t="s">
        <v>73</v>
      </c>
      <c r="C51" s="66">
        <f>20+5+50</f>
        <v>75</v>
      </c>
      <c r="D51" s="21"/>
      <c r="E51" s="241">
        <f>(C51+D51)*1000</f>
        <v>75000</v>
      </c>
      <c r="F51" s="250">
        <v>0</v>
      </c>
      <c r="G51" s="250">
        <v>0</v>
      </c>
      <c r="H51" s="250">
        <v>3000</v>
      </c>
      <c r="I51" s="426">
        <v>6000</v>
      </c>
      <c r="J51" s="250">
        <f t="shared" si="9"/>
        <v>84000</v>
      </c>
      <c r="K51" s="532">
        <v>83223</v>
      </c>
      <c r="L51" s="536">
        <f t="shared" si="2"/>
        <v>0.99075</v>
      </c>
    </row>
    <row r="52" spans="1:12" ht="12" customHeight="1">
      <c r="A52" s="34" t="s">
        <v>74</v>
      </c>
      <c r="B52" s="20" t="s">
        <v>75</v>
      </c>
      <c r="C52" s="66"/>
      <c r="D52" s="21"/>
      <c r="E52" s="241">
        <f t="shared" si="10"/>
        <v>0</v>
      </c>
      <c r="F52" s="250">
        <v>0</v>
      </c>
      <c r="G52" s="250">
        <v>0</v>
      </c>
      <c r="H52" s="250">
        <v>0</v>
      </c>
      <c r="I52" s="426">
        <v>0</v>
      </c>
      <c r="J52" s="250">
        <f t="shared" si="9"/>
        <v>0</v>
      </c>
      <c r="K52" s="532">
        <v>0</v>
      </c>
      <c r="L52" s="536">
        <v>0</v>
      </c>
    </row>
    <row r="53" spans="1:12" ht="12" customHeight="1">
      <c r="A53" s="34" t="s">
        <v>76</v>
      </c>
      <c r="B53" s="20" t="s">
        <v>77</v>
      </c>
      <c r="C53" s="66">
        <f>SUM(C54:C55)</f>
        <v>239</v>
      </c>
      <c r="D53" s="21"/>
      <c r="E53" s="241">
        <f>(C53+D53)*1000</f>
        <v>239000</v>
      </c>
      <c r="F53" s="250">
        <f>F54+F55</f>
        <v>-60244</v>
      </c>
      <c r="G53" s="250">
        <f>G54+G55</f>
        <v>0</v>
      </c>
      <c r="H53" s="250">
        <f>H54+H55</f>
        <v>0</v>
      </c>
      <c r="I53" s="250">
        <f>I54+I55</f>
        <v>176000</v>
      </c>
      <c r="J53" s="250">
        <f t="shared" si="9"/>
        <v>354756</v>
      </c>
      <c r="K53" s="532">
        <f>K54+K55</f>
        <v>353716</v>
      </c>
      <c r="L53" s="536">
        <f t="shared" si="2"/>
        <v>0.997068407581549</v>
      </c>
    </row>
    <row r="54" spans="1:12" ht="12" customHeight="1">
      <c r="A54" s="34"/>
      <c r="B54" s="20" t="s">
        <v>87</v>
      </c>
      <c r="C54" s="66">
        <f>9+2+2+10+209+7</f>
        <v>239</v>
      </c>
      <c r="D54" s="21"/>
      <c r="E54" s="62">
        <f>(C54+D54)*1000</f>
        <v>239000</v>
      </c>
      <c r="F54" s="250">
        <f>-80244+4000</f>
        <v>-76244</v>
      </c>
      <c r="G54" s="250">
        <v>0</v>
      </c>
      <c r="H54" s="250">
        <v>0</v>
      </c>
      <c r="I54" s="426">
        <v>185000</v>
      </c>
      <c r="J54" s="250">
        <f t="shared" si="9"/>
        <v>347756</v>
      </c>
      <c r="K54" s="532">
        <v>347711</v>
      </c>
      <c r="L54" s="536">
        <f t="shared" si="2"/>
        <v>0.9998705989256835</v>
      </c>
    </row>
    <row r="55" spans="1:12" ht="12" customHeight="1" thickBot="1">
      <c r="A55" s="40"/>
      <c r="B55" s="16" t="s">
        <v>79</v>
      </c>
      <c r="C55" s="67"/>
      <c r="D55" s="17"/>
      <c r="E55" s="242">
        <f t="shared" si="10"/>
        <v>0</v>
      </c>
      <c r="F55" s="251">
        <v>16000</v>
      </c>
      <c r="G55" s="251">
        <v>0</v>
      </c>
      <c r="H55" s="251">
        <v>0</v>
      </c>
      <c r="I55" s="427">
        <v>-9000</v>
      </c>
      <c r="J55" s="291">
        <f t="shared" si="9"/>
        <v>7000</v>
      </c>
      <c r="K55" s="537">
        <v>6005</v>
      </c>
      <c r="L55" s="535">
        <f t="shared" si="2"/>
        <v>0.8578571428571429</v>
      </c>
    </row>
    <row r="56" spans="1:12" ht="12" customHeight="1" thickBot="1">
      <c r="A56" s="9" t="s">
        <v>31</v>
      </c>
      <c r="B56" s="10" t="s">
        <v>32</v>
      </c>
      <c r="C56" s="13"/>
      <c r="D56" s="11"/>
      <c r="E56" s="55">
        <f t="shared" si="10"/>
        <v>0</v>
      </c>
      <c r="F56" s="55">
        <f aca="true" t="shared" si="11" ref="F56:I57">D56+E56</f>
        <v>0</v>
      </c>
      <c r="G56" s="55">
        <f t="shared" si="11"/>
        <v>0</v>
      </c>
      <c r="H56" s="55">
        <f t="shared" si="11"/>
        <v>0</v>
      </c>
      <c r="I56" s="55">
        <f t="shared" si="11"/>
        <v>0</v>
      </c>
      <c r="J56" s="424">
        <f aca="true" t="shared" si="12" ref="J56:J62">E56+F56+G56+H56</f>
        <v>0</v>
      </c>
      <c r="K56" s="260">
        <v>0</v>
      </c>
      <c r="L56" s="480">
        <v>0</v>
      </c>
    </row>
    <row r="57" spans="1:12" ht="12" customHeight="1" thickBot="1">
      <c r="A57" s="9" t="s">
        <v>33</v>
      </c>
      <c r="B57" s="10" t="s">
        <v>80</v>
      </c>
      <c r="C57" s="13"/>
      <c r="D57" s="11"/>
      <c r="E57" s="55">
        <f t="shared" si="10"/>
        <v>0</v>
      </c>
      <c r="F57" s="55">
        <f t="shared" si="11"/>
        <v>0</v>
      </c>
      <c r="G57" s="55">
        <f t="shared" si="11"/>
        <v>0</v>
      </c>
      <c r="H57" s="55">
        <f t="shared" si="11"/>
        <v>0</v>
      </c>
      <c r="I57" s="55">
        <f t="shared" si="11"/>
        <v>0</v>
      </c>
      <c r="J57" s="424">
        <f t="shared" si="12"/>
        <v>0</v>
      </c>
      <c r="K57" s="260">
        <v>0</v>
      </c>
      <c r="L57" s="480">
        <v>0</v>
      </c>
    </row>
    <row r="58" spans="1:12" ht="12" customHeight="1" thickBot="1">
      <c r="A58" s="9" t="s">
        <v>34</v>
      </c>
      <c r="B58" s="10" t="s">
        <v>35</v>
      </c>
      <c r="C58" s="13"/>
      <c r="D58" s="11"/>
      <c r="E58" s="55">
        <f t="shared" si="10"/>
        <v>0</v>
      </c>
      <c r="F58" s="252">
        <f>52102+20000</f>
        <v>72102</v>
      </c>
      <c r="G58" s="252">
        <v>0</v>
      </c>
      <c r="H58" s="252">
        <v>70000</v>
      </c>
      <c r="I58" s="424">
        <v>0</v>
      </c>
      <c r="J58" s="424">
        <f t="shared" si="12"/>
        <v>142102</v>
      </c>
      <c r="K58" s="260">
        <v>141664</v>
      </c>
      <c r="L58" s="480">
        <f aca="true" t="shared" si="13" ref="L58:L66">K58/J58</f>
        <v>0.9969177069991978</v>
      </c>
    </row>
    <row r="59" spans="1:12" ht="12" customHeight="1" thickBot="1">
      <c r="A59" s="9"/>
      <c r="B59" s="10" t="s">
        <v>93</v>
      </c>
      <c r="C59" s="13"/>
      <c r="D59" s="11"/>
      <c r="E59" s="55">
        <f t="shared" si="10"/>
        <v>0</v>
      </c>
      <c r="F59" s="252">
        <f>14066+5400</f>
        <v>19466</v>
      </c>
      <c r="G59" s="252">
        <v>0</v>
      </c>
      <c r="H59" s="252">
        <v>18900</v>
      </c>
      <c r="I59" s="424">
        <v>0</v>
      </c>
      <c r="J59" s="424">
        <f t="shared" si="12"/>
        <v>38366</v>
      </c>
      <c r="K59" s="260">
        <v>38246</v>
      </c>
      <c r="L59" s="480">
        <f t="shared" si="13"/>
        <v>0.9968722306208623</v>
      </c>
    </row>
    <row r="60" spans="1:12" ht="12" customHeight="1" thickBot="1">
      <c r="A60" s="9" t="s">
        <v>36</v>
      </c>
      <c r="B60" s="10" t="s">
        <v>37</v>
      </c>
      <c r="C60" s="13"/>
      <c r="D60" s="11"/>
      <c r="E60" s="55">
        <f t="shared" si="10"/>
        <v>0</v>
      </c>
      <c r="F60" s="252">
        <v>0</v>
      </c>
      <c r="G60" s="252">
        <v>0</v>
      </c>
      <c r="H60" s="252">
        <v>0</v>
      </c>
      <c r="I60" s="424">
        <v>0</v>
      </c>
      <c r="J60" s="424">
        <f t="shared" si="12"/>
        <v>0</v>
      </c>
      <c r="K60" s="260">
        <v>0</v>
      </c>
      <c r="L60" s="480">
        <v>0</v>
      </c>
    </row>
    <row r="61" spans="1:12" ht="12" customHeight="1" thickBot="1">
      <c r="A61" s="9"/>
      <c r="B61" s="10" t="s">
        <v>89</v>
      </c>
      <c r="C61" s="11"/>
      <c r="D61" s="11"/>
      <c r="E61" s="55">
        <f t="shared" si="10"/>
        <v>0</v>
      </c>
      <c r="F61" s="252">
        <v>0</v>
      </c>
      <c r="G61" s="252">
        <v>0</v>
      </c>
      <c r="H61" s="252">
        <v>0</v>
      </c>
      <c r="I61" s="424">
        <v>0</v>
      </c>
      <c r="J61" s="424">
        <f t="shared" si="12"/>
        <v>0</v>
      </c>
      <c r="K61" s="260">
        <v>0</v>
      </c>
      <c r="L61" s="480">
        <v>0</v>
      </c>
    </row>
    <row r="62" spans="1:12" ht="12" customHeight="1" thickBot="1">
      <c r="A62" s="9" t="s">
        <v>38</v>
      </c>
      <c r="B62" s="10" t="s">
        <v>94</v>
      </c>
      <c r="C62" s="11"/>
      <c r="D62" s="11"/>
      <c r="E62" s="55">
        <f t="shared" si="10"/>
        <v>0</v>
      </c>
      <c r="F62" s="252">
        <v>0</v>
      </c>
      <c r="G62" s="252">
        <v>0</v>
      </c>
      <c r="H62" s="252">
        <v>0</v>
      </c>
      <c r="I62" s="424">
        <v>0</v>
      </c>
      <c r="J62" s="424">
        <f t="shared" si="12"/>
        <v>0</v>
      </c>
      <c r="K62" s="519">
        <v>0</v>
      </c>
      <c r="L62" s="480">
        <v>0</v>
      </c>
    </row>
    <row r="63" spans="1:12" ht="12" customHeight="1" thickBot="1">
      <c r="A63" s="9" t="s">
        <v>39</v>
      </c>
      <c r="B63" s="10" t="s">
        <v>82</v>
      </c>
      <c r="C63" s="11">
        <f>SUM(C24,C38,C42,C56,C57,C58,C59,C60,C61,C62)</f>
        <v>11858</v>
      </c>
      <c r="D63" s="11"/>
      <c r="E63" s="55">
        <f>(C63+D63)*1000</f>
        <v>11858000</v>
      </c>
      <c r="F63" s="252">
        <f>F61+F60+F59+F58+F57+F56+F42+F38+F24</f>
        <v>74610</v>
      </c>
      <c r="G63" s="252">
        <f>G61+G60+G59+G58+G57+G56+G42+G38+G24</f>
        <v>313690</v>
      </c>
      <c r="H63" s="252">
        <f>H61+H60+H59+H58+H57+H56+H42+H38+H24</f>
        <v>504900</v>
      </c>
      <c r="I63" s="252">
        <f>I61+I60+I59+I58+I57+I56+I42+I38+I24</f>
        <v>645716</v>
      </c>
      <c r="J63" s="424">
        <f>E63+F63+G63+H63+I63</f>
        <v>13396916</v>
      </c>
      <c r="K63" s="260">
        <f>K62+K61+K60+K58+K59+K57+K56+K42+K38+K24</f>
        <v>13361307</v>
      </c>
      <c r="L63" s="480">
        <f t="shared" si="13"/>
        <v>0.997342000203629</v>
      </c>
    </row>
    <row r="64" spans="1:12" ht="12" customHeight="1" thickBot="1">
      <c r="A64" s="9" t="s">
        <v>40</v>
      </c>
      <c r="B64" s="10" t="s">
        <v>41</v>
      </c>
      <c r="C64" s="11">
        <f>SUM(C65:C65)</f>
        <v>0</v>
      </c>
      <c r="D64" s="11">
        <f>SUM(D65:D65)</f>
        <v>0</v>
      </c>
      <c r="E64" s="55">
        <f t="shared" si="10"/>
        <v>0</v>
      </c>
      <c r="F64" s="252">
        <v>0</v>
      </c>
      <c r="G64" s="252">
        <v>0</v>
      </c>
      <c r="H64" s="252">
        <v>0</v>
      </c>
      <c r="I64" s="424">
        <v>0</v>
      </c>
      <c r="J64" s="424">
        <f>E64+F64+G64+H64</f>
        <v>0</v>
      </c>
      <c r="K64" s="260">
        <v>0</v>
      </c>
      <c r="L64" s="480">
        <v>0</v>
      </c>
    </row>
    <row r="65" spans="1:12" ht="12" customHeight="1" hidden="1" thickBot="1">
      <c r="A65" s="40"/>
      <c r="B65" s="16" t="s">
        <v>95</v>
      </c>
      <c r="C65" s="17"/>
      <c r="D65" s="17"/>
      <c r="E65" s="243">
        <f t="shared" si="10"/>
        <v>0</v>
      </c>
      <c r="F65" s="252">
        <v>0</v>
      </c>
      <c r="G65" s="252">
        <v>0</v>
      </c>
      <c r="H65" s="252">
        <v>0</v>
      </c>
      <c r="I65" s="424"/>
      <c r="J65" s="424">
        <f>E65+F65+G65+H65</f>
        <v>0</v>
      </c>
      <c r="K65" s="260" t="e">
        <f>#REF!+K63</f>
        <v>#REF!</v>
      </c>
      <c r="L65" s="480" t="e">
        <f t="shared" si="13"/>
        <v>#REF!</v>
      </c>
    </row>
    <row r="66" spans="1:12" ht="12" customHeight="1" thickBot="1">
      <c r="A66" s="9" t="s">
        <v>42</v>
      </c>
      <c r="B66" s="10" t="s">
        <v>43</v>
      </c>
      <c r="C66" s="11">
        <f>C63+C64</f>
        <v>11858</v>
      </c>
      <c r="D66" s="11">
        <f>D62+D64</f>
        <v>0</v>
      </c>
      <c r="E66" s="55">
        <f>(C66+D66)*1000</f>
        <v>11858000</v>
      </c>
      <c r="F66" s="253">
        <f>F64+F63</f>
        <v>74610</v>
      </c>
      <c r="G66" s="253">
        <f>G64+G63</f>
        <v>313690</v>
      </c>
      <c r="H66" s="253">
        <f>H64+H63</f>
        <v>504900</v>
      </c>
      <c r="I66" s="253">
        <f>I64+I63</f>
        <v>645716</v>
      </c>
      <c r="J66" s="488">
        <f>E66+F66+G66+H66+I66</f>
        <v>13396916</v>
      </c>
      <c r="K66" s="503">
        <f>K63</f>
        <v>13361307</v>
      </c>
      <c r="L66" s="480">
        <f t="shared" si="13"/>
        <v>0.997342000203629</v>
      </c>
    </row>
    <row r="68" ht="15">
      <c r="J68" s="54"/>
    </row>
    <row r="91" spans="3:9" ht="15">
      <c r="C91" s="54">
        <f>Önkormányzat!E70+Önkormányzat!E71+Start!E62+Start!E63+Községgazd!G60+Községgazd!G61+Könyvtár!H59+Könyvtár!H60+Ovi!E60+Ovi!E61+Közvilágítás!H60+Közvilágítás!H61+Közút!E59+Közút!E60</f>
        <v>18147059</v>
      </c>
      <c r="H91" s="54"/>
      <c r="I91" s="54"/>
    </row>
    <row r="93" spans="8:9" ht="15">
      <c r="H93" s="54"/>
      <c r="I93" s="54"/>
    </row>
    <row r="101" spans="8:9" ht="15">
      <c r="H101" s="54"/>
      <c r="I101" s="54"/>
    </row>
  </sheetData>
  <sheetProtection/>
  <mergeCells count="6">
    <mergeCell ref="A6:E6"/>
    <mergeCell ref="B2:E2"/>
    <mergeCell ref="A9:J9"/>
    <mergeCell ref="A23:J23"/>
    <mergeCell ref="A3:L3"/>
    <mergeCell ref="A4:L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90" r:id="rId3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="110" zoomScaleNormal="110" zoomScalePageLayoutView="0" workbookViewId="0" topLeftCell="A71">
      <selection activeCell="B2" sqref="B2:E2"/>
    </sheetView>
  </sheetViews>
  <sheetFormatPr defaultColWidth="9.140625" defaultRowHeight="15"/>
  <cols>
    <col min="1" max="1" width="10.7109375" style="3" customWidth="1"/>
    <col min="2" max="2" width="38.57421875" style="3" customWidth="1"/>
    <col min="3" max="3" width="9.28125" style="3" hidden="1" customWidth="1"/>
    <col min="4" max="4" width="8.140625" style="3" hidden="1" customWidth="1"/>
    <col min="5" max="5" width="11.28125" style="3" bestFit="1" customWidth="1"/>
    <col min="6" max="9" width="9.140625" style="1" hidden="1" customWidth="1"/>
    <col min="10" max="10" width="10.57421875" style="1" bestFit="1" customWidth="1"/>
    <col min="11" max="11" width="9.140625" style="1" customWidth="1"/>
    <col min="12" max="12" width="10.140625" style="1" bestFit="1" customWidth="1"/>
    <col min="13" max="13" width="11.28125" style="1" bestFit="1" customWidth="1"/>
    <col min="14" max="16384" width="9.140625" style="1" customWidth="1"/>
  </cols>
  <sheetData>
    <row r="1" spans="1:5" ht="23.25" customHeight="1">
      <c r="A1" s="8">
        <v>4</v>
      </c>
      <c r="B1" s="867" t="str">
        <f>Összevont!B1</f>
        <v>. melléklet az 5/2017. (V. 26.) önkormányzati rendelethez</v>
      </c>
      <c r="C1" s="867"/>
      <c r="D1" s="867"/>
      <c r="E1" s="867"/>
    </row>
    <row r="2" spans="1:5" ht="15">
      <c r="A2" s="7"/>
      <c r="B2" s="867"/>
      <c r="C2" s="867"/>
      <c r="D2" s="867"/>
      <c r="E2" s="867"/>
    </row>
    <row r="3" spans="1:12" s="2" customFormat="1" ht="12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</row>
    <row r="4" spans="1:12" s="2" customFormat="1" ht="12" customHeight="1">
      <c r="A4" s="866" t="s">
        <v>400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5" s="2" customFormat="1" ht="12" customHeight="1">
      <c r="A5" s="866"/>
      <c r="B5" s="866"/>
      <c r="C5" s="866"/>
      <c r="D5" s="866"/>
      <c r="E5" s="866"/>
    </row>
    <row r="6" spans="1:5" s="2" customFormat="1" ht="12" customHeight="1">
      <c r="A6" s="859" t="s">
        <v>86</v>
      </c>
      <c r="B6" s="859"/>
      <c r="C6" s="859"/>
      <c r="D6" s="859"/>
      <c r="E6" s="859"/>
    </row>
    <row r="7" spans="1:10" ht="12" customHeight="1" thickBot="1">
      <c r="A7" s="7"/>
      <c r="B7" s="7"/>
      <c r="C7" s="7"/>
      <c r="D7" s="7"/>
      <c r="E7" s="8"/>
      <c r="J7" s="68" t="s">
        <v>363</v>
      </c>
    </row>
    <row r="8" spans="1:12" s="4" customFormat="1" ht="45.75" thickBot="1">
      <c r="A8" s="30" t="s">
        <v>0</v>
      </c>
      <c r="B8" s="31" t="s">
        <v>1</v>
      </c>
      <c r="C8" s="35" t="s">
        <v>2</v>
      </c>
      <c r="D8" s="35" t="s">
        <v>3</v>
      </c>
      <c r="E8" s="31" t="s">
        <v>322</v>
      </c>
      <c r="F8" s="31" t="s">
        <v>356</v>
      </c>
      <c r="G8" s="31" t="s">
        <v>357</v>
      </c>
      <c r="H8" s="31" t="s">
        <v>358</v>
      </c>
      <c r="I8" s="35" t="s">
        <v>393</v>
      </c>
      <c r="J8" s="35" t="s">
        <v>359</v>
      </c>
      <c r="K8" s="31" t="s">
        <v>398</v>
      </c>
      <c r="L8" s="501" t="s">
        <v>399</v>
      </c>
    </row>
    <row r="9" spans="1:12" s="4" customFormat="1" ht="12" customHeight="1" thickBot="1">
      <c r="A9" s="868" t="s">
        <v>44</v>
      </c>
      <c r="B9" s="869"/>
      <c r="C9" s="869"/>
      <c r="D9" s="869"/>
      <c r="E9" s="869"/>
      <c r="F9" s="869"/>
      <c r="G9" s="869"/>
      <c r="H9" s="869"/>
      <c r="I9" s="869"/>
      <c r="J9" s="869"/>
      <c r="L9" s="477"/>
    </row>
    <row r="10" spans="1:13" s="5" customFormat="1" ht="12" customHeight="1" thickBot="1">
      <c r="A10" s="9" t="s">
        <v>6</v>
      </c>
      <c r="B10" s="10" t="s">
        <v>7</v>
      </c>
      <c r="C10" s="55">
        <f>156+22916+3000</f>
        <v>26072</v>
      </c>
      <c r="D10" s="55">
        <v>0</v>
      </c>
      <c r="E10" s="55">
        <f>(D10+C10)*1000</f>
        <v>26072000</v>
      </c>
      <c r="F10" s="260">
        <f>29210+157571-28575</f>
        <v>158206</v>
      </c>
      <c r="G10" s="260">
        <f>422910+28575+789608+664745</f>
        <v>1905838</v>
      </c>
      <c r="H10" s="260">
        <v>0</v>
      </c>
      <c r="I10" s="421">
        <v>1548193</v>
      </c>
      <c r="J10" s="421">
        <f>E10+F10+G10+H10+I10</f>
        <v>29684237</v>
      </c>
      <c r="K10" s="260">
        <v>29684237</v>
      </c>
      <c r="L10" s="480">
        <f>K10/J10</f>
        <v>1</v>
      </c>
      <c r="M10" s="436"/>
    </row>
    <row r="11" spans="1:13" s="5" customFormat="1" ht="12" customHeight="1" thickBot="1">
      <c r="A11" s="9" t="s">
        <v>8</v>
      </c>
      <c r="B11" s="10" t="s">
        <v>45</v>
      </c>
      <c r="C11" s="55">
        <v>43</v>
      </c>
      <c r="D11" s="55">
        <v>0</v>
      </c>
      <c r="E11" s="55">
        <f>(D11+C11)*1000</f>
        <v>43000</v>
      </c>
      <c r="F11" s="260">
        <f>2185500</f>
        <v>2185500</v>
      </c>
      <c r="G11" s="260">
        <v>15000000</v>
      </c>
      <c r="H11" s="260">
        <v>0</v>
      </c>
      <c r="I11" s="421">
        <v>0</v>
      </c>
      <c r="J11" s="421">
        <f aca="true" t="shared" si="0" ref="J11:J18">E11+F11+G11+H11+I11</f>
        <v>17228500</v>
      </c>
      <c r="K11" s="260">
        <v>17228100</v>
      </c>
      <c r="L11" s="480">
        <f aca="true" t="shared" si="1" ref="L11:L78">K11/J11</f>
        <v>0.9999767826566445</v>
      </c>
      <c r="M11" s="436"/>
    </row>
    <row r="12" spans="1:13" s="5" customFormat="1" ht="12" customHeight="1" thickBot="1">
      <c r="A12" s="9" t="s">
        <v>9</v>
      </c>
      <c r="B12" s="10" t="s">
        <v>10</v>
      </c>
      <c r="C12" s="55">
        <v>3265</v>
      </c>
      <c r="D12" s="55">
        <v>0</v>
      </c>
      <c r="E12" s="55">
        <v>3050000</v>
      </c>
      <c r="F12" s="260">
        <v>0</v>
      </c>
      <c r="G12" s="260">
        <v>0</v>
      </c>
      <c r="H12" s="260">
        <v>1300000</v>
      </c>
      <c r="I12" s="421">
        <v>0</v>
      </c>
      <c r="J12" s="421">
        <f t="shared" si="0"/>
        <v>4350000</v>
      </c>
      <c r="K12" s="260">
        <v>5571726</v>
      </c>
      <c r="L12" s="480">
        <f t="shared" si="1"/>
        <v>1.280856551724138</v>
      </c>
      <c r="M12" s="436"/>
    </row>
    <row r="13" spans="1:13" s="5" customFormat="1" ht="12" customHeight="1" thickBot="1">
      <c r="A13" s="9" t="s">
        <v>11</v>
      </c>
      <c r="B13" s="10" t="s">
        <v>12</v>
      </c>
      <c r="C13" s="55">
        <f>556+550+200+500</f>
        <v>1806</v>
      </c>
      <c r="D13" s="55">
        <v>0</v>
      </c>
      <c r="E13" s="55">
        <f>(D13+C13)*1000</f>
        <v>1806000</v>
      </c>
      <c r="F13" s="260">
        <v>-320157</v>
      </c>
      <c r="G13" s="421">
        <v>0</v>
      </c>
      <c r="H13" s="421">
        <v>0</v>
      </c>
      <c r="I13" s="421">
        <v>0</v>
      </c>
      <c r="J13" s="421">
        <f t="shared" si="0"/>
        <v>1485843</v>
      </c>
      <c r="K13" s="260">
        <f>1396910+32413</f>
        <v>1429323</v>
      </c>
      <c r="L13" s="480">
        <f t="shared" si="1"/>
        <v>0.9619609878028836</v>
      </c>
      <c r="M13" s="436"/>
    </row>
    <row r="14" spans="1:13" s="5" customFormat="1" ht="12" customHeight="1" thickBot="1">
      <c r="A14" s="9" t="s">
        <v>14</v>
      </c>
      <c r="B14" s="10" t="s">
        <v>15</v>
      </c>
      <c r="C14" s="55">
        <v>0</v>
      </c>
      <c r="D14" s="55">
        <v>0</v>
      </c>
      <c r="E14" s="55">
        <v>0</v>
      </c>
      <c r="F14" s="260">
        <v>0</v>
      </c>
      <c r="G14" s="260">
        <v>1325510</v>
      </c>
      <c r="H14" s="260">
        <v>0</v>
      </c>
      <c r="I14" s="421">
        <v>0</v>
      </c>
      <c r="J14" s="421">
        <f t="shared" si="0"/>
        <v>1325510</v>
      </c>
      <c r="K14" s="260">
        <v>1325560</v>
      </c>
      <c r="L14" s="480">
        <f t="shared" si="1"/>
        <v>1.0000377213299032</v>
      </c>
      <c r="M14" s="436"/>
    </row>
    <row r="15" spans="1:13" s="5" customFormat="1" ht="12" customHeight="1" thickBot="1">
      <c r="A15" s="9" t="s">
        <v>16</v>
      </c>
      <c r="B15" s="10" t="s">
        <v>17</v>
      </c>
      <c r="C15" s="55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421">
        <v>0</v>
      </c>
      <c r="J15" s="421">
        <f t="shared" si="0"/>
        <v>0</v>
      </c>
      <c r="K15" s="260">
        <v>0</v>
      </c>
      <c r="L15" s="480">
        <v>0</v>
      </c>
      <c r="M15" s="436"/>
    </row>
    <row r="16" spans="1:13" s="5" customFormat="1" ht="12" customHeight="1" thickBot="1">
      <c r="A16" s="9" t="s">
        <v>18</v>
      </c>
      <c r="B16" s="10" t="s">
        <v>19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421">
        <v>0</v>
      </c>
      <c r="J16" s="421">
        <f t="shared" si="0"/>
        <v>0</v>
      </c>
      <c r="K16" s="260">
        <v>0</v>
      </c>
      <c r="L16" s="480">
        <v>0</v>
      </c>
      <c r="M16" s="436"/>
    </row>
    <row r="17" spans="1:13" s="5" customFormat="1" ht="12" customHeight="1" thickBot="1">
      <c r="A17" s="9" t="s">
        <v>20</v>
      </c>
      <c r="B17" s="12" t="s">
        <v>21</v>
      </c>
      <c r="C17" s="56">
        <f>SUM(C10:C16)</f>
        <v>31186</v>
      </c>
      <c r="D17" s="56">
        <f>SUM(D10:D16)</f>
        <v>0</v>
      </c>
      <c r="E17" s="55">
        <f>SUM(E10:E14)</f>
        <v>30971000</v>
      </c>
      <c r="F17" s="260">
        <f>F16+F15+F14+F13+F12+F11+F10</f>
        <v>2023549</v>
      </c>
      <c r="G17" s="260">
        <f>G16+G15+G14+G13+G12+G11+G10</f>
        <v>18231348</v>
      </c>
      <c r="H17" s="260">
        <f>H16+H15+H14+H13+H12+H11+H10</f>
        <v>1300000</v>
      </c>
      <c r="I17" s="260">
        <f>I16+I15+I14+I13+I12+I11+I10</f>
        <v>1548193</v>
      </c>
      <c r="J17" s="421">
        <f t="shared" si="0"/>
        <v>54074090</v>
      </c>
      <c r="K17" s="260">
        <f>SUM(K10:K16)</f>
        <v>55238946</v>
      </c>
      <c r="L17" s="480">
        <f t="shared" si="1"/>
        <v>1.0215418511897287</v>
      </c>
      <c r="M17" s="436"/>
    </row>
    <row r="18" spans="1:13" s="5" customFormat="1" ht="12" customHeight="1" thickBot="1">
      <c r="A18" s="9" t="s">
        <v>23</v>
      </c>
      <c r="B18" s="10" t="s">
        <v>22</v>
      </c>
      <c r="C18" s="55">
        <f>SUM(C19:C21)</f>
        <v>2100</v>
      </c>
      <c r="D18" s="55">
        <f>SUM(D19:D21)</f>
        <v>0</v>
      </c>
      <c r="E18" s="55">
        <f>(D18+C18)*1000</f>
        <v>2100000</v>
      </c>
      <c r="F18" s="260">
        <f>F19+F21</f>
        <v>248195</v>
      </c>
      <c r="G18" s="260">
        <f>G19+G20</f>
        <v>0</v>
      </c>
      <c r="H18" s="260">
        <f>H19+H20</f>
        <v>0</v>
      </c>
      <c r="I18" s="260">
        <f>I19+I20</f>
        <v>983000</v>
      </c>
      <c r="J18" s="421">
        <f t="shared" si="0"/>
        <v>3331195</v>
      </c>
      <c r="K18" s="260">
        <f>SUM(K19:K21)</f>
        <v>3331195</v>
      </c>
      <c r="L18" s="480">
        <f t="shared" si="1"/>
        <v>1</v>
      </c>
      <c r="M18" s="436"/>
    </row>
    <row r="19" spans="1:13" s="6" customFormat="1" ht="12" customHeight="1">
      <c r="A19" s="38"/>
      <c r="B19" s="14" t="s">
        <v>46</v>
      </c>
      <c r="C19" s="15">
        <v>2100</v>
      </c>
      <c r="D19" s="15"/>
      <c r="E19" s="241">
        <f>(C19++D19)*1000</f>
        <v>2100000</v>
      </c>
      <c r="F19" s="261">
        <v>248195</v>
      </c>
      <c r="G19" s="261">
        <v>0</v>
      </c>
      <c r="H19" s="261">
        <v>0</v>
      </c>
      <c r="I19" s="422">
        <v>0</v>
      </c>
      <c r="J19" s="467">
        <f>E19+F19+G19+H19+I19</f>
        <v>2348195</v>
      </c>
      <c r="K19" s="539">
        <v>2348195</v>
      </c>
      <c r="L19" s="551">
        <f t="shared" si="1"/>
        <v>1</v>
      </c>
      <c r="M19" s="437"/>
    </row>
    <row r="20" spans="1:13" s="6" customFormat="1" ht="12" customHeight="1">
      <c r="A20" s="393"/>
      <c r="B20" s="394" t="s">
        <v>395</v>
      </c>
      <c r="C20" s="33"/>
      <c r="D20" s="33"/>
      <c r="E20" s="242">
        <v>0</v>
      </c>
      <c r="F20" s="440">
        <v>0</v>
      </c>
      <c r="G20" s="440">
        <v>0</v>
      </c>
      <c r="H20" s="440">
        <v>0</v>
      </c>
      <c r="I20" s="441">
        <v>983000</v>
      </c>
      <c r="J20" s="467">
        <f>E20+F20+G20+H20+I20</f>
        <v>983000</v>
      </c>
      <c r="K20" s="532">
        <v>983000</v>
      </c>
      <c r="L20" s="552">
        <f t="shared" si="1"/>
        <v>1</v>
      </c>
      <c r="M20" s="437"/>
    </row>
    <row r="21" spans="1:13" s="6" customFormat="1" ht="12" customHeight="1" thickBot="1">
      <c r="A21" s="40"/>
      <c r="B21" s="16" t="s">
        <v>47</v>
      </c>
      <c r="C21" s="17">
        <v>0</v>
      </c>
      <c r="D21" s="17">
        <v>0</v>
      </c>
      <c r="E21" s="257">
        <v>0</v>
      </c>
      <c r="F21" s="262">
        <v>0</v>
      </c>
      <c r="G21" s="262">
        <v>0</v>
      </c>
      <c r="H21" s="262">
        <v>0</v>
      </c>
      <c r="I21" s="423">
        <v>0</v>
      </c>
      <c r="J21" s="468">
        <f>E21+F21+G21+H21</f>
        <v>0</v>
      </c>
      <c r="K21" s="541">
        <v>0</v>
      </c>
      <c r="L21" s="542">
        <v>0</v>
      </c>
      <c r="M21" s="437"/>
    </row>
    <row r="22" spans="1:13" s="5" customFormat="1" ht="12" customHeight="1" thickBot="1">
      <c r="A22" s="9" t="s">
        <v>24</v>
      </c>
      <c r="B22" s="10" t="s">
        <v>25</v>
      </c>
      <c r="C22" s="55">
        <f>C17+C18</f>
        <v>33286</v>
      </c>
      <c r="D22" s="55">
        <f>D17+D18</f>
        <v>0</v>
      </c>
      <c r="E22" s="55">
        <f>E17+E18</f>
        <v>33071000</v>
      </c>
      <c r="F22" s="260">
        <f>F18+F17</f>
        <v>2271744</v>
      </c>
      <c r="G22" s="260">
        <f>G18+G17</f>
        <v>18231348</v>
      </c>
      <c r="H22" s="260">
        <f>H18+H17</f>
        <v>1300000</v>
      </c>
      <c r="I22" s="260">
        <f>I18+I17</f>
        <v>2531193</v>
      </c>
      <c r="J22" s="421">
        <f>E22+F22+G22+H22+I22</f>
        <v>57405285</v>
      </c>
      <c r="K22" s="260">
        <f>K17+K18</f>
        <v>58570141</v>
      </c>
      <c r="L22" s="480">
        <f t="shared" si="1"/>
        <v>1.0202917902071211</v>
      </c>
      <c r="M22" s="436"/>
    </row>
    <row r="23" spans="1:12" ht="12" customHeight="1" thickBot="1">
      <c r="A23" s="868"/>
      <c r="B23" s="869"/>
      <c r="C23" s="869"/>
      <c r="D23" s="869"/>
      <c r="E23" s="869"/>
      <c r="F23" s="869"/>
      <c r="G23" s="869"/>
      <c r="H23" s="869"/>
      <c r="I23" s="869"/>
      <c r="J23" s="869"/>
      <c r="K23" s="482"/>
      <c r="L23" s="483"/>
    </row>
    <row r="24" spans="1:12" ht="12" customHeight="1" thickBot="1">
      <c r="A24" s="9" t="s">
        <v>26</v>
      </c>
      <c r="B24" s="10" t="s">
        <v>27</v>
      </c>
      <c r="C24" s="55">
        <f aca="true" t="shared" si="2" ref="C24:I24">C25+C33</f>
        <v>3796</v>
      </c>
      <c r="D24" s="55">
        <f t="shared" si="2"/>
        <v>0</v>
      </c>
      <c r="E24" s="55">
        <f t="shared" si="2"/>
        <v>3796000</v>
      </c>
      <c r="F24" s="252">
        <f t="shared" si="2"/>
        <v>-3500</v>
      </c>
      <c r="G24" s="252">
        <f>G25+G33</f>
        <v>336500</v>
      </c>
      <c r="H24" s="252">
        <f t="shared" si="2"/>
        <v>100000</v>
      </c>
      <c r="I24" s="252">
        <f t="shared" si="2"/>
        <v>319677</v>
      </c>
      <c r="J24" s="421">
        <f>E24+F24+G24+H24+I24</f>
        <v>4548677</v>
      </c>
      <c r="K24" s="260">
        <f>K25+K33</f>
        <v>4468814</v>
      </c>
      <c r="L24" s="480">
        <f t="shared" si="1"/>
        <v>0.9824425871522643</v>
      </c>
    </row>
    <row r="25" spans="1:12" ht="12" customHeight="1">
      <c r="A25" s="38" t="s">
        <v>49</v>
      </c>
      <c r="B25" s="14" t="s">
        <v>50</v>
      </c>
      <c r="C25" s="15">
        <f>SUM(C26:C32)</f>
        <v>0</v>
      </c>
      <c r="D25" s="15">
        <f>SUM(D26:D32)</f>
        <v>0</v>
      </c>
      <c r="E25" s="241">
        <v>0</v>
      </c>
      <c r="F25" s="259">
        <v>0</v>
      </c>
      <c r="G25" s="259">
        <f>G26</f>
        <v>333000</v>
      </c>
      <c r="H25" s="259">
        <v>0</v>
      </c>
      <c r="I25" s="425">
        <v>0</v>
      </c>
      <c r="J25" s="469">
        <f>G25+F26+H25+I25</f>
        <v>333000</v>
      </c>
      <c r="K25" s="539">
        <f>K26+K27+K32</f>
        <v>277500</v>
      </c>
      <c r="L25" s="551">
        <f t="shared" si="1"/>
        <v>0.8333333333333334</v>
      </c>
    </row>
    <row r="26" spans="1:12" ht="12" customHeight="1">
      <c r="A26" s="34"/>
      <c r="B26" s="20" t="s">
        <v>51</v>
      </c>
      <c r="C26" s="15"/>
      <c r="D26" s="15">
        <v>0</v>
      </c>
      <c r="E26" s="241">
        <v>0</v>
      </c>
      <c r="F26" s="250">
        <v>0</v>
      </c>
      <c r="G26" s="250">
        <v>333000</v>
      </c>
      <c r="H26" s="250">
        <v>0</v>
      </c>
      <c r="I26" s="426">
        <v>0</v>
      </c>
      <c r="J26" s="470">
        <f>G26+E26+F26+H26+I26</f>
        <v>333000</v>
      </c>
      <c r="K26" s="532">
        <v>277500</v>
      </c>
      <c r="L26" s="552">
        <f t="shared" si="1"/>
        <v>0.8333333333333334</v>
      </c>
    </row>
    <row r="27" spans="1:12" ht="12" customHeight="1">
      <c r="A27" s="34"/>
      <c r="B27" s="20" t="s">
        <v>52</v>
      </c>
      <c r="C27" s="15">
        <v>0</v>
      </c>
      <c r="D27" s="15">
        <v>0</v>
      </c>
      <c r="E27" s="241">
        <v>0</v>
      </c>
      <c r="F27" s="250">
        <v>0</v>
      </c>
      <c r="G27" s="250">
        <v>0</v>
      </c>
      <c r="H27" s="250">
        <v>0</v>
      </c>
      <c r="I27" s="426">
        <v>0</v>
      </c>
      <c r="J27" s="470">
        <f aca="true" t="shared" si="3" ref="J27:J36">G27+E27+F27+H27+I27</f>
        <v>0</v>
      </c>
      <c r="K27" s="532">
        <v>0</v>
      </c>
      <c r="L27" s="552">
        <v>0</v>
      </c>
    </row>
    <row r="28" spans="1:12" ht="12" customHeight="1" hidden="1">
      <c r="A28" s="34"/>
      <c r="B28" s="20" t="s">
        <v>53</v>
      </c>
      <c r="C28" s="15"/>
      <c r="D28" s="15">
        <v>0</v>
      </c>
      <c r="E28" s="241"/>
      <c r="F28" s="250"/>
      <c r="G28" s="250"/>
      <c r="H28" s="250">
        <v>0</v>
      </c>
      <c r="I28" s="426">
        <v>0</v>
      </c>
      <c r="J28" s="470">
        <f t="shared" si="3"/>
        <v>0</v>
      </c>
      <c r="K28" s="532"/>
      <c r="L28" s="552" t="e">
        <f t="shared" si="1"/>
        <v>#DIV/0!</v>
      </c>
    </row>
    <row r="29" spans="1:12" ht="12" customHeight="1" hidden="1">
      <c r="A29" s="34"/>
      <c r="B29" s="20" t="s">
        <v>54</v>
      </c>
      <c r="C29" s="15"/>
      <c r="D29" s="15">
        <v>0</v>
      </c>
      <c r="E29" s="241"/>
      <c r="F29" s="250"/>
      <c r="G29" s="250"/>
      <c r="H29" s="250">
        <v>0</v>
      </c>
      <c r="I29" s="426">
        <v>0</v>
      </c>
      <c r="J29" s="470">
        <f t="shared" si="3"/>
        <v>0</v>
      </c>
      <c r="K29" s="532"/>
      <c r="L29" s="552" t="e">
        <f t="shared" si="1"/>
        <v>#DIV/0!</v>
      </c>
    </row>
    <row r="30" spans="1:12" ht="12" customHeight="1" hidden="1">
      <c r="A30" s="34"/>
      <c r="B30" s="20" t="s">
        <v>55</v>
      </c>
      <c r="C30" s="15"/>
      <c r="D30" s="15">
        <v>0</v>
      </c>
      <c r="E30" s="241"/>
      <c r="F30" s="250"/>
      <c r="G30" s="250"/>
      <c r="H30" s="250">
        <v>0</v>
      </c>
      <c r="I30" s="426">
        <v>0</v>
      </c>
      <c r="J30" s="470">
        <f t="shared" si="3"/>
        <v>0</v>
      </c>
      <c r="K30" s="532"/>
      <c r="L30" s="552" t="e">
        <f t="shared" si="1"/>
        <v>#DIV/0!</v>
      </c>
    </row>
    <row r="31" spans="1:12" ht="12" customHeight="1" hidden="1">
      <c r="A31" s="34"/>
      <c r="B31" s="20" t="s">
        <v>56</v>
      </c>
      <c r="C31" s="15">
        <v>0</v>
      </c>
      <c r="D31" s="15">
        <v>0</v>
      </c>
      <c r="E31" s="241"/>
      <c r="F31" s="250"/>
      <c r="G31" s="250"/>
      <c r="H31" s="250">
        <v>0</v>
      </c>
      <c r="I31" s="426">
        <v>0</v>
      </c>
      <c r="J31" s="470">
        <f t="shared" si="3"/>
        <v>0</v>
      </c>
      <c r="K31" s="532"/>
      <c r="L31" s="552" t="e">
        <f t="shared" si="1"/>
        <v>#DIV/0!</v>
      </c>
    </row>
    <row r="32" spans="1:12" ht="12" customHeight="1">
      <c r="A32" s="34"/>
      <c r="B32" s="20" t="s">
        <v>57</v>
      </c>
      <c r="C32" s="15"/>
      <c r="D32" s="15">
        <v>0</v>
      </c>
      <c r="E32" s="241">
        <v>0</v>
      </c>
      <c r="F32" s="250">
        <v>0</v>
      </c>
      <c r="G32" s="250">
        <v>0</v>
      </c>
      <c r="H32" s="250">
        <v>0</v>
      </c>
      <c r="I32" s="426">
        <v>0</v>
      </c>
      <c r="J32" s="470">
        <f t="shared" si="3"/>
        <v>0</v>
      </c>
      <c r="K32" s="532">
        <v>0</v>
      </c>
      <c r="L32" s="552">
        <v>0</v>
      </c>
    </row>
    <row r="33" spans="1:12" ht="12" customHeight="1">
      <c r="A33" s="34" t="s">
        <v>58</v>
      </c>
      <c r="B33" s="20" t="s">
        <v>59</v>
      </c>
      <c r="C33" s="15">
        <f>SUM(C34:C36)</f>
        <v>3796</v>
      </c>
      <c r="D33" s="15">
        <f>SUM(D34:D36)</f>
        <v>0</v>
      </c>
      <c r="E33" s="241">
        <f>SUM(E34:E36)</f>
        <v>3796000</v>
      </c>
      <c r="F33" s="250">
        <f>F34+F35+F36</f>
        <v>-3500</v>
      </c>
      <c r="G33" s="250">
        <f>G34+G35+G36</f>
        <v>3500</v>
      </c>
      <c r="H33" s="250">
        <f>H34+H35+H36</f>
        <v>100000</v>
      </c>
      <c r="I33" s="426">
        <f>I34+I36</f>
        <v>319677</v>
      </c>
      <c r="J33" s="470">
        <f t="shared" si="3"/>
        <v>4215677</v>
      </c>
      <c r="K33" s="532">
        <f>K34+K35+K36</f>
        <v>4191314</v>
      </c>
      <c r="L33" s="552">
        <f t="shared" si="1"/>
        <v>0.9942208570533274</v>
      </c>
    </row>
    <row r="34" spans="1:12" ht="12" customHeight="1">
      <c r="A34" s="34"/>
      <c r="B34" s="20" t="s">
        <v>60</v>
      </c>
      <c r="C34" s="15">
        <f>1795+1080+149+449+269+54</f>
        <v>3796</v>
      </c>
      <c r="D34" s="15">
        <v>0</v>
      </c>
      <c r="E34" s="241">
        <f>(D34+C34)*1000</f>
        <v>3796000</v>
      </c>
      <c r="F34" s="250">
        <v>-3500</v>
      </c>
      <c r="G34" s="250">
        <v>3500</v>
      </c>
      <c r="H34" s="250">
        <v>0</v>
      </c>
      <c r="I34" s="426">
        <v>170000</v>
      </c>
      <c r="J34" s="470">
        <f t="shared" si="3"/>
        <v>3966000</v>
      </c>
      <c r="K34" s="532">
        <v>3965250</v>
      </c>
      <c r="L34" s="552">
        <f t="shared" si="1"/>
        <v>0.9998108925869894</v>
      </c>
    </row>
    <row r="35" spans="1:12" ht="12" customHeight="1">
      <c r="A35" s="34"/>
      <c r="B35" s="20" t="s">
        <v>85</v>
      </c>
      <c r="C35" s="15"/>
      <c r="D35" s="15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470">
        <f t="shared" si="3"/>
        <v>0</v>
      </c>
      <c r="K35" s="532">
        <v>0</v>
      </c>
      <c r="L35" s="552">
        <v>0</v>
      </c>
    </row>
    <row r="36" spans="1:12" ht="12" customHeight="1" thickBot="1">
      <c r="A36" s="40"/>
      <c r="B36" s="16" t="s">
        <v>61</v>
      </c>
      <c r="C36" s="33"/>
      <c r="D36" s="33">
        <v>0</v>
      </c>
      <c r="E36" s="241">
        <v>0</v>
      </c>
      <c r="F36" s="241">
        <v>0</v>
      </c>
      <c r="G36" s="241">
        <v>0</v>
      </c>
      <c r="H36" s="251">
        <v>100000</v>
      </c>
      <c r="I36" s="427">
        <v>149677</v>
      </c>
      <c r="J36" s="470">
        <f t="shared" si="3"/>
        <v>249677</v>
      </c>
      <c r="K36" s="541">
        <v>226064</v>
      </c>
      <c r="L36" s="542">
        <f t="shared" si="1"/>
        <v>0.9054258101467095</v>
      </c>
    </row>
    <row r="37" spans="1:12" ht="12" customHeight="1" thickBot="1">
      <c r="A37" s="9" t="s">
        <v>28</v>
      </c>
      <c r="B37" s="22" t="s">
        <v>84</v>
      </c>
      <c r="C37" s="57">
        <f aca="true" t="shared" si="4" ref="C37:H37">C38+C39+C40</f>
        <v>925</v>
      </c>
      <c r="D37" s="57">
        <f t="shared" si="4"/>
        <v>0</v>
      </c>
      <c r="E37" s="55">
        <f t="shared" si="4"/>
        <v>925000</v>
      </c>
      <c r="F37" s="252">
        <f t="shared" si="4"/>
        <v>-1750</v>
      </c>
      <c r="G37" s="252">
        <f t="shared" si="4"/>
        <v>91660</v>
      </c>
      <c r="H37" s="252">
        <f t="shared" si="4"/>
        <v>0</v>
      </c>
      <c r="I37" s="424">
        <v>0</v>
      </c>
      <c r="J37" s="421">
        <f>E37+F37+G37+H37</f>
        <v>1014910</v>
      </c>
      <c r="K37" s="260">
        <f>SUM(K38:K40)</f>
        <v>1066156</v>
      </c>
      <c r="L37" s="480">
        <f t="shared" si="1"/>
        <v>1.0504931471756116</v>
      </c>
    </row>
    <row r="38" spans="1:12" ht="12" customHeight="1">
      <c r="A38" s="34"/>
      <c r="B38" s="20" t="s">
        <v>62</v>
      </c>
      <c r="C38" s="15">
        <f>485+262+121+6</f>
        <v>874</v>
      </c>
      <c r="D38" s="15">
        <v>0</v>
      </c>
      <c r="E38" s="241">
        <f>(D38+C38)*1000</f>
        <v>874000</v>
      </c>
      <c r="F38" s="249">
        <v>-1750</v>
      </c>
      <c r="G38" s="249">
        <f>1750+89910</f>
        <v>91660</v>
      </c>
      <c r="H38" s="249">
        <v>0</v>
      </c>
      <c r="I38" s="428">
        <v>0</v>
      </c>
      <c r="J38" s="467">
        <f>E38+F38+G38+H38</f>
        <v>963910</v>
      </c>
      <c r="K38" s="539">
        <v>999231</v>
      </c>
      <c r="L38" s="551">
        <f t="shared" si="1"/>
        <v>1.0366434625639322</v>
      </c>
    </row>
    <row r="39" spans="1:12" ht="12" customHeight="1">
      <c r="A39" s="34"/>
      <c r="B39" s="20" t="s">
        <v>209</v>
      </c>
      <c r="C39" s="15">
        <f>9+16</f>
        <v>25</v>
      </c>
      <c r="D39" s="15">
        <v>0</v>
      </c>
      <c r="E39" s="241">
        <f>(D39+C39)*1000</f>
        <v>25000</v>
      </c>
      <c r="F39" s="250">
        <v>0</v>
      </c>
      <c r="G39" s="250">
        <v>0</v>
      </c>
      <c r="H39" s="250">
        <v>0</v>
      </c>
      <c r="I39" s="426">
        <v>0</v>
      </c>
      <c r="J39" s="470">
        <f>E39+F39+G39+H39</f>
        <v>25000</v>
      </c>
      <c r="K39" s="532">
        <v>32037</v>
      </c>
      <c r="L39" s="552">
        <f t="shared" si="1"/>
        <v>1.28148</v>
      </c>
    </row>
    <row r="40" spans="1:12" ht="12" customHeight="1" thickBot="1">
      <c r="A40" s="40"/>
      <c r="B40" s="16" t="s">
        <v>64</v>
      </c>
      <c r="C40" s="33">
        <f>9+17</f>
        <v>26</v>
      </c>
      <c r="D40" s="33">
        <v>0</v>
      </c>
      <c r="E40" s="241">
        <f>(D40+C40)*1000</f>
        <v>26000</v>
      </c>
      <c r="F40" s="251">
        <v>0</v>
      </c>
      <c r="G40" s="251">
        <v>0</v>
      </c>
      <c r="H40" s="251">
        <v>0</v>
      </c>
      <c r="I40" s="427">
        <v>0</v>
      </c>
      <c r="J40" s="468">
        <f>E40+F40+G40+H40</f>
        <v>26000</v>
      </c>
      <c r="K40" s="541">
        <v>34888</v>
      </c>
      <c r="L40" s="542">
        <f t="shared" si="1"/>
        <v>1.341846153846154</v>
      </c>
    </row>
    <row r="41" spans="1:12" ht="12" customHeight="1" thickBot="1">
      <c r="A41" s="9" t="s">
        <v>29</v>
      </c>
      <c r="B41" s="10" t="s">
        <v>30</v>
      </c>
      <c r="C41" s="55">
        <f aca="true" t="shared" si="5" ref="C41:I41">C42+C43+C44+C52+C53</f>
        <v>4924</v>
      </c>
      <c r="D41" s="55">
        <f t="shared" si="5"/>
        <v>571</v>
      </c>
      <c r="E41" s="55">
        <f t="shared" si="5"/>
        <v>5495000</v>
      </c>
      <c r="F41" s="252">
        <f t="shared" si="5"/>
        <v>400000</v>
      </c>
      <c r="G41" s="252">
        <f t="shared" si="5"/>
        <v>-315183</v>
      </c>
      <c r="H41" s="252">
        <f t="shared" si="5"/>
        <v>10000</v>
      </c>
      <c r="I41" s="252">
        <f t="shared" si="5"/>
        <v>376183</v>
      </c>
      <c r="J41" s="421">
        <f>E41+F41+G41+H41+I41</f>
        <v>5966000</v>
      </c>
      <c r="K41" s="260">
        <f>K42+K43+K44+K52+K53</f>
        <v>5306749</v>
      </c>
      <c r="L41" s="480">
        <f t="shared" si="1"/>
        <v>0.8894986590680523</v>
      </c>
    </row>
    <row r="42" spans="1:12" ht="12" customHeight="1">
      <c r="A42" s="38" t="s">
        <v>65</v>
      </c>
      <c r="B42" s="14" t="s">
        <v>67</v>
      </c>
      <c r="C42" s="15">
        <f>23+50+314</f>
        <v>387</v>
      </c>
      <c r="D42" s="15"/>
      <c r="E42" s="241">
        <f>(D42+C42)*1000</f>
        <v>387000</v>
      </c>
      <c r="F42" s="249">
        <v>0</v>
      </c>
      <c r="G42" s="249">
        <v>0</v>
      </c>
      <c r="H42" s="249">
        <v>0</v>
      </c>
      <c r="I42" s="428">
        <v>318527</v>
      </c>
      <c r="J42" s="467">
        <f>E42+F42+G42+H42+I42</f>
        <v>705527</v>
      </c>
      <c r="K42" s="539">
        <v>657669</v>
      </c>
      <c r="L42" s="551">
        <f t="shared" si="1"/>
        <v>0.9321670184131862</v>
      </c>
    </row>
    <row r="43" spans="1:12" ht="12" customHeight="1">
      <c r="A43" s="34" t="s">
        <v>66</v>
      </c>
      <c r="B43" s="20" t="s">
        <v>68</v>
      </c>
      <c r="C43" s="15">
        <v>100</v>
      </c>
      <c r="D43" s="15"/>
      <c r="E43" s="241">
        <f>(D43+C43)*1000</f>
        <v>100000</v>
      </c>
      <c r="F43" s="250">
        <v>0</v>
      </c>
      <c r="G43" s="250">
        <v>0</v>
      </c>
      <c r="H43" s="250">
        <v>0</v>
      </c>
      <c r="I43" s="426">
        <v>0</v>
      </c>
      <c r="J43" s="470">
        <f>E43+F43+G43+H43+I43</f>
        <v>100000</v>
      </c>
      <c r="K43" s="532">
        <v>78252</v>
      </c>
      <c r="L43" s="552">
        <f t="shared" si="1"/>
        <v>0.78252</v>
      </c>
    </row>
    <row r="44" spans="1:12" ht="12" customHeight="1">
      <c r="A44" s="34" t="s">
        <v>69</v>
      </c>
      <c r="B44" s="20" t="s">
        <v>70</v>
      </c>
      <c r="C44" s="15">
        <f>SUM(C45:C51)</f>
        <v>3695</v>
      </c>
      <c r="D44" s="15">
        <f>SUM(D45:D51)</f>
        <v>314</v>
      </c>
      <c r="E44" s="241">
        <f>(D44+C44)*1000</f>
        <v>4009000</v>
      </c>
      <c r="F44" s="250">
        <f>SUM(F45:F51)</f>
        <v>0</v>
      </c>
      <c r="G44" s="250">
        <f>SUM(G45:G51)</f>
        <v>-246900</v>
      </c>
      <c r="H44" s="250">
        <f>SUM(H45:H51)</f>
        <v>10000</v>
      </c>
      <c r="I44" s="250">
        <f>SUM(I45:I51)</f>
        <v>-107344</v>
      </c>
      <c r="J44" s="470">
        <f aca="true" t="shared" si="6" ref="J44:J57">E44+F44+G44+H44+I44</f>
        <v>3664756</v>
      </c>
      <c r="K44" s="532">
        <f>SUM(K45:K51)</f>
        <v>3362020</v>
      </c>
      <c r="L44" s="552">
        <f t="shared" si="1"/>
        <v>0.9173925903934669</v>
      </c>
    </row>
    <row r="45" spans="1:12" ht="12" customHeight="1">
      <c r="A45" s="34"/>
      <c r="B45" s="20" t="s">
        <v>91</v>
      </c>
      <c r="C45" s="15">
        <v>1059</v>
      </c>
      <c r="D45" s="15"/>
      <c r="E45" s="241">
        <f>(D45+C45)*1000</f>
        <v>1059000</v>
      </c>
      <c r="F45" s="250">
        <v>0</v>
      </c>
      <c r="G45" s="250">
        <v>0</v>
      </c>
      <c r="H45" s="250">
        <v>0</v>
      </c>
      <c r="I45" s="426">
        <v>-300000</v>
      </c>
      <c r="J45" s="470">
        <f t="shared" si="6"/>
        <v>759000</v>
      </c>
      <c r="K45" s="532">
        <v>715668</v>
      </c>
      <c r="L45" s="552">
        <f t="shared" si="1"/>
        <v>0.9429090909090909</v>
      </c>
    </row>
    <row r="46" spans="1:12" ht="12" customHeight="1">
      <c r="A46" s="34"/>
      <c r="B46" s="20" t="s">
        <v>92</v>
      </c>
      <c r="C46" s="15">
        <f>550+438</f>
        <v>988</v>
      </c>
      <c r="D46" s="15"/>
      <c r="E46" s="241">
        <f>(D46+C46)*1000</f>
        <v>988000</v>
      </c>
      <c r="F46" s="250">
        <v>0</v>
      </c>
      <c r="G46" s="250">
        <v>0</v>
      </c>
      <c r="H46" s="250">
        <v>0</v>
      </c>
      <c r="I46" s="426">
        <v>20000</v>
      </c>
      <c r="J46" s="470">
        <f t="shared" si="6"/>
        <v>1008000</v>
      </c>
      <c r="K46" s="532">
        <v>1006065</v>
      </c>
      <c r="L46" s="552">
        <f t="shared" si="1"/>
        <v>0.9980803571428571</v>
      </c>
    </row>
    <row r="47" spans="1:12" ht="12" customHeight="1">
      <c r="A47" s="34"/>
      <c r="B47" s="23" t="s">
        <v>372</v>
      </c>
      <c r="C47" s="58"/>
      <c r="D47" s="58"/>
      <c r="E47" s="241">
        <f>D47+C47</f>
        <v>0</v>
      </c>
      <c r="F47" s="250"/>
      <c r="G47" s="250">
        <v>194100</v>
      </c>
      <c r="H47" s="250">
        <v>10000</v>
      </c>
      <c r="I47" s="426">
        <v>0</v>
      </c>
      <c r="J47" s="470">
        <f t="shared" si="6"/>
        <v>204100</v>
      </c>
      <c r="K47" s="532">
        <v>201100</v>
      </c>
      <c r="L47" s="552">
        <f t="shared" si="1"/>
        <v>0.9853013228809407</v>
      </c>
    </row>
    <row r="48" spans="1:12" ht="12" customHeight="1">
      <c r="A48" s="34"/>
      <c r="B48" s="20" t="s">
        <v>97</v>
      </c>
      <c r="C48" s="15">
        <v>157</v>
      </c>
      <c r="D48" s="15">
        <v>314</v>
      </c>
      <c r="E48" s="241">
        <f>(D48+C48)*1000</f>
        <v>471000</v>
      </c>
      <c r="F48" s="250">
        <v>0</v>
      </c>
      <c r="G48" s="250">
        <v>-441000</v>
      </c>
      <c r="H48" s="250">
        <v>0</v>
      </c>
      <c r="I48" s="426">
        <v>13000</v>
      </c>
      <c r="J48" s="470">
        <f t="shared" si="6"/>
        <v>43000</v>
      </c>
      <c r="K48" s="532">
        <v>42600</v>
      </c>
      <c r="L48" s="552">
        <f t="shared" si="1"/>
        <v>0.9906976744186047</v>
      </c>
    </row>
    <row r="49" spans="1:12" ht="12" customHeight="1">
      <c r="A49" s="34"/>
      <c r="B49" s="20" t="s">
        <v>72</v>
      </c>
      <c r="C49" s="15">
        <v>300</v>
      </c>
      <c r="D49" s="15"/>
      <c r="E49" s="241">
        <f>(D49+C49)*1000</f>
        <v>300000</v>
      </c>
      <c r="F49" s="250">
        <v>0</v>
      </c>
      <c r="G49" s="250">
        <v>0</v>
      </c>
      <c r="H49" s="250">
        <v>0</v>
      </c>
      <c r="I49" s="426">
        <v>0</v>
      </c>
      <c r="J49" s="470">
        <f t="shared" si="6"/>
        <v>300000</v>
      </c>
      <c r="K49" s="532">
        <v>243482</v>
      </c>
      <c r="L49" s="552">
        <f t="shared" si="1"/>
        <v>0.8116066666666667</v>
      </c>
    </row>
    <row r="50" spans="1:12" ht="12" customHeight="1">
      <c r="A50" s="34"/>
      <c r="B50" s="20" t="s">
        <v>394</v>
      </c>
      <c r="C50" s="15"/>
      <c r="D50" s="15"/>
      <c r="E50" s="241">
        <v>0</v>
      </c>
      <c r="F50" s="241">
        <v>0</v>
      </c>
      <c r="G50" s="241">
        <v>0</v>
      </c>
      <c r="H50" s="241">
        <v>0</v>
      </c>
      <c r="I50" s="426">
        <v>3000</v>
      </c>
      <c r="J50" s="470">
        <f t="shared" si="6"/>
        <v>3000</v>
      </c>
      <c r="K50" s="532">
        <v>3000</v>
      </c>
      <c r="L50" s="552">
        <f t="shared" si="1"/>
        <v>1</v>
      </c>
    </row>
    <row r="51" spans="1:12" ht="12" customHeight="1">
      <c r="A51" s="34"/>
      <c r="B51" s="20" t="s">
        <v>73</v>
      </c>
      <c r="C51" s="15">
        <f>232+435+300+24+34+14+7+60-84+169</f>
        <v>1191</v>
      </c>
      <c r="D51" s="15"/>
      <c r="E51" s="241">
        <f>(D51+C51)*1000</f>
        <v>1191000</v>
      </c>
      <c r="F51" s="250">
        <v>0</v>
      </c>
      <c r="G51" s="250">
        <v>0</v>
      </c>
      <c r="H51" s="250">
        <v>0</v>
      </c>
      <c r="I51" s="426">
        <v>156656</v>
      </c>
      <c r="J51" s="470">
        <f t="shared" si="6"/>
        <v>1347656</v>
      </c>
      <c r="K51" s="532">
        <f>10081+1140024</f>
        <v>1150105</v>
      </c>
      <c r="L51" s="552">
        <f t="shared" si="1"/>
        <v>0.8534114046908113</v>
      </c>
    </row>
    <row r="52" spans="1:12" ht="12" customHeight="1">
      <c r="A52" s="34" t="s">
        <v>74</v>
      </c>
      <c r="B52" s="20" t="s">
        <v>75</v>
      </c>
      <c r="C52" s="15"/>
      <c r="D52" s="15"/>
      <c r="E52" s="241">
        <f>D52+C52</f>
        <v>0</v>
      </c>
      <c r="F52" s="250">
        <v>0</v>
      </c>
      <c r="G52" s="250">
        <v>0</v>
      </c>
      <c r="H52" s="250">
        <v>0</v>
      </c>
      <c r="I52" s="426">
        <v>0</v>
      </c>
      <c r="J52" s="470">
        <f t="shared" si="6"/>
        <v>0</v>
      </c>
      <c r="K52" s="532">
        <v>0</v>
      </c>
      <c r="L52" s="552">
        <v>0</v>
      </c>
    </row>
    <row r="53" spans="1:12" ht="12" customHeight="1">
      <c r="A53" s="34" t="s">
        <v>76</v>
      </c>
      <c r="B53" s="20" t="s">
        <v>77</v>
      </c>
      <c r="C53" s="15">
        <f>C54+C55+C56+C57</f>
        <v>742</v>
      </c>
      <c r="D53" s="15">
        <f>D54+D55+D56+D57</f>
        <v>257</v>
      </c>
      <c r="E53" s="241">
        <f>(D53+C53)*1000</f>
        <v>999000</v>
      </c>
      <c r="F53" s="250">
        <f>SUM(F54:F57)</f>
        <v>400000</v>
      </c>
      <c r="G53" s="250">
        <f>SUM(G54:G57)</f>
        <v>-68283</v>
      </c>
      <c r="H53" s="250">
        <f>SUM(H54:H57)</f>
        <v>0</v>
      </c>
      <c r="I53" s="250">
        <f>SUM(I54:I57)</f>
        <v>165000</v>
      </c>
      <c r="J53" s="470">
        <f t="shared" si="6"/>
        <v>1495717</v>
      </c>
      <c r="K53" s="532">
        <f>K54+K55+K56+K57</f>
        <v>1208808</v>
      </c>
      <c r="L53" s="552">
        <f t="shared" si="1"/>
        <v>0.8081796222146301</v>
      </c>
    </row>
    <row r="54" spans="1:12" ht="12" customHeight="1">
      <c r="A54" s="34"/>
      <c r="B54" s="20" t="s">
        <v>87</v>
      </c>
      <c r="C54" s="21">
        <f>42+85+20+27+280+15+81+2+16+81-23+46</f>
        <v>672</v>
      </c>
      <c r="D54" s="21">
        <v>85</v>
      </c>
      <c r="E54" s="241">
        <f>(D54+C54)*1000</f>
        <v>757000</v>
      </c>
      <c r="F54" s="250">
        <v>85000</v>
      </c>
      <c r="G54" s="250">
        <f>-119070+50787</f>
        <v>-68283</v>
      </c>
      <c r="H54" s="250">
        <v>0</v>
      </c>
      <c r="I54" s="426">
        <v>0</v>
      </c>
      <c r="J54" s="470">
        <f t="shared" si="6"/>
        <v>773717</v>
      </c>
      <c r="K54" s="532">
        <v>648601</v>
      </c>
      <c r="L54" s="552">
        <f t="shared" si="1"/>
        <v>0.8382922955033947</v>
      </c>
    </row>
    <row r="55" spans="1:12" ht="12" customHeight="1">
      <c r="A55" s="34"/>
      <c r="B55" s="20" t="s">
        <v>78</v>
      </c>
      <c r="C55" s="15">
        <v>70</v>
      </c>
      <c r="D55" s="15">
        <v>172</v>
      </c>
      <c r="E55" s="241">
        <f>(D55+C55)*1000</f>
        <v>242000</v>
      </c>
      <c r="F55" s="250">
        <v>0</v>
      </c>
      <c r="G55" s="250">
        <v>0</v>
      </c>
      <c r="H55" s="250">
        <v>0</v>
      </c>
      <c r="I55" s="426">
        <v>0</v>
      </c>
      <c r="J55" s="470">
        <f t="shared" si="6"/>
        <v>242000</v>
      </c>
      <c r="K55" s="532">
        <v>86300</v>
      </c>
      <c r="L55" s="552">
        <f t="shared" si="1"/>
        <v>0.3566115702479339</v>
      </c>
    </row>
    <row r="56" spans="1:12" ht="12" customHeight="1">
      <c r="A56" s="34"/>
      <c r="B56" s="20" t="s">
        <v>13</v>
      </c>
      <c r="C56" s="15"/>
      <c r="D56" s="15"/>
      <c r="E56" s="241">
        <v>0</v>
      </c>
      <c r="F56" s="241">
        <v>0</v>
      </c>
      <c r="G56" s="241">
        <v>0</v>
      </c>
      <c r="H56" s="241">
        <v>0</v>
      </c>
      <c r="I56" s="241">
        <v>0</v>
      </c>
      <c r="J56" s="470">
        <f t="shared" si="6"/>
        <v>0</v>
      </c>
      <c r="K56" s="532">
        <v>0</v>
      </c>
      <c r="L56" s="552">
        <v>0</v>
      </c>
    </row>
    <row r="57" spans="1:12" ht="12" customHeight="1" thickBot="1">
      <c r="A57" s="40"/>
      <c r="B57" s="16" t="s">
        <v>79</v>
      </c>
      <c r="C57" s="33"/>
      <c r="D57" s="33"/>
      <c r="E57" s="241">
        <f>D57+C57</f>
        <v>0</v>
      </c>
      <c r="F57" s="251">
        <v>315000</v>
      </c>
      <c r="G57" s="251">
        <v>0</v>
      </c>
      <c r="H57" s="251"/>
      <c r="I57" s="427">
        <v>165000</v>
      </c>
      <c r="J57" s="470">
        <f t="shared" si="6"/>
        <v>480000</v>
      </c>
      <c r="K57" s="541">
        <v>473907</v>
      </c>
      <c r="L57" s="542">
        <f t="shared" si="1"/>
        <v>0.98730625</v>
      </c>
    </row>
    <row r="58" spans="1:12" ht="12" customHeight="1" thickBot="1">
      <c r="A58" s="9" t="s">
        <v>31</v>
      </c>
      <c r="B58" s="10" t="s">
        <v>32</v>
      </c>
      <c r="C58" s="36">
        <v>2683</v>
      </c>
      <c r="D58" s="55"/>
      <c r="E58" s="55">
        <f>(D58+C58)*1000</f>
        <v>2683000</v>
      </c>
      <c r="F58" s="252">
        <v>0</v>
      </c>
      <c r="G58" s="252">
        <v>0</v>
      </c>
      <c r="H58" s="252">
        <v>636300</v>
      </c>
      <c r="I58" s="424">
        <v>182700</v>
      </c>
      <c r="J58" s="421">
        <f>E58+F58+G58+H58+I58</f>
        <v>3502000</v>
      </c>
      <c r="K58" s="260">
        <v>3501000</v>
      </c>
      <c r="L58" s="480">
        <f t="shared" si="1"/>
        <v>0.9997144488863506</v>
      </c>
    </row>
    <row r="59" spans="1:12" ht="12" customHeight="1">
      <c r="A59" s="548" t="s">
        <v>778</v>
      </c>
      <c r="B59" s="29" t="s">
        <v>449</v>
      </c>
      <c r="C59" s="29"/>
      <c r="D59" s="549"/>
      <c r="E59" s="549"/>
      <c r="F59" s="259"/>
      <c r="G59" s="259"/>
      <c r="H59" s="259"/>
      <c r="I59" s="259"/>
      <c r="J59" s="533"/>
      <c r="K59" s="533">
        <v>1231000</v>
      </c>
      <c r="L59" s="550"/>
    </row>
    <row r="60" spans="1:12" ht="12" customHeight="1">
      <c r="A60" s="299" t="s">
        <v>779</v>
      </c>
      <c r="B60" s="711" t="s">
        <v>780</v>
      </c>
      <c r="C60" s="20"/>
      <c r="D60" s="21"/>
      <c r="E60" s="21"/>
      <c r="F60" s="250"/>
      <c r="G60" s="250"/>
      <c r="H60" s="250"/>
      <c r="I60" s="250"/>
      <c r="J60" s="532"/>
      <c r="K60" s="532">
        <v>1231000</v>
      </c>
      <c r="L60" s="552"/>
    </row>
    <row r="61" spans="1:12" ht="12" customHeight="1">
      <c r="A61" s="299" t="s">
        <v>450</v>
      </c>
      <c r="B61" s="20" t="s">
        <v>781</v>
      </c>
      <c r="C61" s="20"/>
      <c r="D61" s="21"/>
      <c r="E61" s="21"/>
      <c r="F61" s="250"/>
      <c r="G61" s="250"/>
      <c r="H61" s="250"/>
      <c r="I61" s="250"/>
      <c r="J61" s="532"/>
      <c r="K61" s="532">
        <v>2270000</v>
      </c>
      <c r="L61" s="552"/>
    </row>
    <row r="62" spans="1:12" ht="12" customHeight="1" thickBot="1">
      <c r="A62" s="296" t="s">
        <v>779</v>
      </c>
      <c r="B62" s="712" t="s">
        <v>330</v>
      </c>
      <c r="C62" s="290"/>
      <c r="D62" s="297"/>
      <c r="E62" s="297"/>
      <c r="F62" s="291"/>
      <c r="G62" s="291"/>
      <c r="H62" s="291"/>
      <c r="I62" s="291"/>
      <c r="J62" s="537"/>
      <c r="K62" s="537">
        <v>2270000</v>
      </c>
      <c r="L62" s="544"/>
    </row>
    <row r="63" spans="1:12" ht="12" customHeight="1">
      <c r="A63" s="406" t="s">
        <v>33</v>
      </c>
      <c r="B63" s="407" t="s">
        <v>80</v>
      </c>
      <c r="C63" s="546">
        <v>1819</v>
      </c>
      <c r="D63" s="389">
        <v>150</v>
      </c>
      <c r="E63" s="389">
        <v>4008000</v>
      </c>
      <c r="F63" s="547">
        <f>465+1391962</f>
        <v>1392427</v>
      </c>
      <c r="G63" s="547">
        <f>G64+G65+G66+G67</f>
        <v>-1065476</v>
      </c>
      <c r="H63" s="547">
        <f>H64+H65+H66+H67</f>
        <v>-151200</v>
      </c>
      <c r="I63" s="547">
        <f>I64+I65+I66+I67</f>
        <v>6901703</v>
      </c>
      <c r="J63" s="471">
        <f>E63+F63+G63+H63+I63</f>
        <v>11085454</v>
      </c>
      <c r="K63" s="478">
        <f>SUM(K64:K67)</f>
        <v>2539170</v>
      </c>
      <c r="L63" s="479">
        <f t="shared" si="1"/>
        <v>0.22905421825754724</v>
      </c>
    </row>
    <row r="64" spans="1:12" ht="12" customHeight="1">
      <c r="A64" s="299" t="s">
        <v>171</v>
      </c>
      <c r="B64" s="20" t="s">
        <v>172</v>
      </c>
      <c r="C64" s="21">
        <f>18+191+900</f>
        <v>1109</v>
      </c>
      <c r="D64" s="21"/>
      <c r="E64" s="62">
        <f>(D64+C64)*1000</f>
        <v>1109000</v>
      </c>
      <c r="F64" s="250">
        <v>-29002</v>
      </c>
      <c r="G64" s="250">
        <v>0</v>
      </c>
      <c r="H64" s="250">
        <v>0</v>
      </c>
      <c r="I64" s="426">
        <v>0</v>
      </c>
      <c r="J64" s="470">
        <f>G64+F64+E64+H64+I64</f>
        <v>1079998</v>
      </c>
      <c r="K64" s="532">
        <v>1054231</v>
      </c>
      <c r="L64" s="552">
        <f t="shared" si="1"/>
        <v>0.9761416224844861</v>
      </c>
    </row>
    <row r="65" spans="1:12" ht="12.75" customHeight="1">
      <c r="A65" s="299" t="s">
        <v>173</v>
      </c>
      <c r="B65" s="20" t="s">
        <v>174</v>
      </c>
      <c r="C65" s="21">
        <f>510+200</f>
        <v>710</v>
      </c>
      <c r="D65" s="21"/>
      <c r="E65" s="62">
        <f>(D65+C65)*1000</f>
        <v>710000</v>
      </c>
      <c r="F65" s="250">
        <v>0</v>
      </c>
      <c r="G65" s="250">
        <v>0</v>
      </c>
      <c r="H65" s="250">
        <v>0</v>
      </c>
      <c r="I65" s="426">
        <v>0</v>
      </c>
      <c r="J65" s="470">
        <f>G65+F65+E65+H65+I65</f>
        <v>710000</v>
      </c>
      <c r="K65" s="532">
        <v>664934</v>
      </c>
      <c r="L65" s="552">
        <f t="shared" si="1"/>
        <v>0.9365267605633802</v>
      </c>
    </row>
    <row r="66" spans="1:12" ht="12" customHeight="1">
      <c r="A66" s="299" t="s">
        <v>178</v>
      </c>
      <c r="B66" s="20" t="s">
        <v>177</v>
      </c>
      <c r="C66" s="21"/>
      <c r="D66" s="21"/>
      <c r="E66" s="62">
        <v>189000</v>
      </c>
      <c r="F66" s="250">
        <v>500000</v>
      </c>
      <c r="G66" s="250">
        <v>0</v>
      </c>
      <c r="H66" s="250">
        <v>0</v>
      </c>
      <c r="I66" s="426">
        <v>132000</v>
      </c>
      <c r="J66" s="470">
        <f>G66+F66+E66+H66+I66</f>
        <v>821000</v>
      </c>
      <c r="K66" s="532">
        <v>820005</v>
      </c>
      <c r="L66" s="552">
        <f t="shared" si="1"/>
        <v>0.9987880633373935</v>
      </c>
    </row>
    <row r="67" spans="1:12" ht="12" customHeight="1" thickBot="1">
      <c r="A67" s="296" t="s">
        <v>385</v>
      </c>
      <c r="B67" s="290" t="s">
        <v>386</v>
      </c>
      <c r="C67" s="297">
        <v>39</v>
      </c>
      <c r="D67" s="297">
        <v>150</v>
      </c>
      <c r="E67" s="298">
        <v>2000000</v>
      </c>
      <c r="F67" s="291">
        <v>921429</v>
      </c>
      <c r="G67" s="291">
        <f>-285115-244887-161922-90000-1400-1800-402894-1750-3500-30326+1325510+789608+664745+25314-2647059</f>
        <v>-1065476</v>
      </c>
      <c r="H67" s="291">
        <v>-151200</v>
      </c>
      <c r="I67" s="438">
        <v>6769703</v>
      </c>
      <c r="J67" s="470">
        <f>G67+F67+E67+H67+I67</f>
        <v>8474456</v>
      </c>
      <c r="K67" s="541">
        <v>0</v>
      </c>
      <c r="L67" s="542">
        <f t="shared" si="1"/>
        <v>0</v>
      </c>
    </row>
    <row r="68" spans="1:12" ht="12" customHeight="1" thickBot="1">
      <c r="A68" s="9" t="s">
        <v>34</v>
      </c>
      <c r="B68" s="10" t="s">
        <v>35</v>
      </c>
      <c r="C68" s="36"/>
      <c r="D68" s="55"/>
      <c r="E68" s="55">
        <v>0</v>
      </c>
      <c r="F68" s="252">
        <v>100000</v>
      </c>
      <c r="G68" s="252">
        <v>0</v>
      </c>
      <c r="H68" s="252">
        <v>0</v>
      </c>
      <c r="I68" s="424">
        <v>0</v>
      </c>
      <c r="J68" s="421">
        <f>E68+F68+G68+H68</f>
        <v>100000</v>
      </c>
      <c r="K68" s="260">
        <f>10717+75287</f>
        <v>86004</v>
      </c>
      <c r="L68" s="480">
        <f t="shared" si="1"/>
        <v>0.86004</v>
      </c>
    </row>
    <row r="69" spans="1:12" ht="12" customHeight="1" thickBot="1">
      <c r="A69" s="9"/>
      <c r="B69" s="10" t="s">
        <v>88</v>
      </c>
      <c r="C69" s="36">
        <v>0</v>
      </c>
      <c r="D69" s="55"/>
      <c r="E69" s="55">
        <v>0</v>
      </c>
      <c r="F69" s="252">
        <v>27000</v>
      </c>
      <c r="G69" s="252">
        <v>0</v>
      </c>
      <c r="H69" s="252">
        <v>0</v>
      </c>
      <c r="I69" s="424">
        <v>0</v>
      </c>
      <c r="J69" s="421">
        <f>E69+F69+G69+H69</f>
        <v>27000</v>
      </c>
      <c r="K69" s="260">
        <v>23222</v>
      </c>
      <c r="L69" s="480">
        <f t="shared" si="1"/>
        <v>0.8600740740740741</v>
      </c>
    </row>
    <row r="70" spans="1:12" ht="12" customHeight="1" thickBot="1">
      <c r="A70" s="9" t="s">
        <v>36</v>
      </c>
      <c r="B70" s="10" t="s">
        <v>37</v>
      </c>
      <c r="C70" s="36">
        <v>0</v>
      </c>
      <c r="D70" s="55"/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421">
        <f>E70+F70+G70+H70</f>
        <v>0</v>
      </c>
      <c r="K70" s="260">
        <v>0</v>
      </c>
      <c r="L70" s="480">
        <v>0</v>
      </c>
    </row>
    <row r="71" spans="1:12" ht="12" customHeight="1" thickBot="1">
      <c r="A71" s="9"/>
      <c r="B71" s="10" t="s">
        <v>89</v>
      </c>
      <c r="C71" s="36">
        <v>0</v>
      </c>
      <c r="D71" s="55"/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421">
        <f>E71+F71+G71+H71</f>
        <v>0</v>
      </c>
      <c r="K71" s="260">
        <v>0</v>
      </c>
      <c r="L71" s="480">
        <v>0</v>
      </c>
    </row>
    <row r="72" spans="1:12" ht="12" customHeight="1" thickBot="1">
      <c r="A72" s="9" t="s">
        <v>38</v>
      </c>
      <c r="B72" s="10" t="s">
        <v>81</v>
      </c>
      <c r="C72" s="36">
        <v>0</v>
      </c>
      <c r="D72" s="55"/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421">
        <f>E72+F72+G72+H72</f>
        <v>0</v>
      </c>
      <c r="K72" s="260">
        <v>0</v>
      </c>
      <c r="L72" s="480">
        <v>0</v>
      </c>
    </row>
    <row r="73" spans="1:12" ht="12" customHeight="1" thickBot="1">
      <c r="A73" s="9" t="s">
        <v>39</v>
      </c>
      <c r="B73" s="10" t="s">
        <v>82</v>
      </c>
      <c r="C73" s="55">
        <f>SUM(C58:C72,C41,C37,C24)</f>
        <v>16005</v>
      </c>
      <c r="D73" s="55">
        <f>SUM(D58:D72,D41,D37,D24)</f>
        <v>871</v>
      </c>
      <c r="E73" s="60">
        <f>E71+E70+E69+E68+E63+E58+E41+E37+E24</f>
        <v>16907000</v>
      </c>
      <c r="F73" s="252">
        <f>F71+F70+F69+F68+F63+F58+F41+F37+F24</f>
        <v>1914177</v>
      </c>
      <c r="G73" s="252">
        <f>G71+G70+G69+G68+G63+G58+G41+G37+G24</f>
        <v>-952499</v>
      </c>
      <c r="H73" s="252">
        <f>H71+H70+H69+H68+H63+H58+H41+H37+H24</f>
        <v>595100</v>
      </c>
      <c r="I73" s="252">
        <f>I71+I70+I69+I68+I63+I58+I41+I37+I24</f>
        <v>7780263</v>
      </c>
      <c r="J73" s="421">
        <f>E73+F73+G73+H73+I73</f>
        <v>26244041</v>
      </c>
      <c r="K73" s="260">
        <f>K72+K71+K70+K69+K68+K63+K58+K41+K37+K24</f>
        <v>16991115</v>
      </c>
      <c r="L73" s="480">
        <f t="shared" si="1"/>
        <v>0.6474275436469559</v>
      </c>
    </row>
    <row r="74" spans="1:12" ht="12" customHeight="1" thickBot="1">
      <c r="A74" s="24" t="s">
        <v>40</v>
      </c>
      <c r="B74" s="25" t="s">
        <v>41</v>
      </c>
      <c r="C74" s="60">
        <f>C75+C77</f>
        <v>0</v>
      </c>
      <c r="D74" s="60">
        <f>D75+D77</f>
        <v>540</v>
      </c>
      <c r="E74" s="60">
        <f>E75+E76+E77</f>
        <v>12352000</v>
      </c>
      <c r="F74" s="252">
        <f>F75+F76+F77</f>
        <v>852317</v>
      </c>
      <c r="G74" s="252">
        <f>G75+G77</f>
        <v>313690</v>
      </c>
      <c r="H74" s="252">
        <f>H75+H77</f>
        <v>504900</v>
      </c>
      <c r="I74" s="252">
        <f>I75+I77</f>
        <v>645716</v>
      </c>
      <c r="J74" s="421">
        <f>E74+F74+G74+H74+I74</f>
        <v>14668623</v>
      </c>
      <c r="K74" s="260">
        <f>K75+K76+K77</f>
        <v>14659502</v>
      </c>
      <c r="L74" s="480">
        <f t="shared" si="1"/>
        <v>0.9993781965764612</v>
      </c>
    </row>
    <row r="75" spans="1:12" ht="12" customHeight="1">
      <c r="A75" s="28"/>
      <c r="B75" s="29" t="s">
        <v>83</v>
      </c>
      <c r="C75" s="61">
        <v>0</v>
      </c>
      <c r="D75" s="61">
        <v>540</v>
      </c>
      <c r="E75" s="61">
        <f>(D75+C75)*1000</f>
        <v>540000</v>
      </c>
      <c r="F75" s="249">
        <v>0</v>
      </c>
      <c r="G75" s="249">
        <v>0</v>
      </c>
      <c r="H75" s="249">
        <v>0</v>
      </c>
      <c r="I75" s="249">
        <v>0</v>
      </c>
      <c r="J75" s="467">
        <f>E75+F75+G75+H75</f>
        <v>540000</v>
      </c>
      <c r="K75" s="539">
        <v>540000</v>
      </c>
      <c r="L75" s="551">
        <f t="shared" si="1"/>
        <v>1</v>
      </c>
    </row>
    <row r="76" spans="1:12" ht="12" customHeight="1">
      <c r="A76" s="38"/>
      <c r="B76" s="14" t="s">
        <v>361</v>
      </c>
      <c r="C76" s="241"/>
      <c r="D76" s="241"/>
      <c r="E76" s="241">
        <v>0</v>
      </c>
      <c r="F76" s="249">
        <v>777707</v>
      </c>
      <c r="G76" s="249">
        <v>0</v>
      </c>
      <c r="H76" s="249">
        <v>0</v>
      </c>
      <c r="I76" s="249">
        <v>0</v>
      </c>
      <c r="J76" s="470">
        <f>E76+F76+G76+H76</f>
        <v>777707</v>
      </c>
      <c r="K76" s="532">
        <v>777707</v>
      </c>
      <c r="L76" s="552">
        <f t="shared" si="1"/>
        <v>1</v>
      </c>
    </row>
    <row r="77" spans="1:12" ht="12" customHeight="1">
      <c r="A77" s="34"/>
      <c r="B77" s="20" t="s">
        <v>90</v>
      </c>
      <c r="C77" s="62"/>
      <c r="D77" s="62"/>
      <c r="E77" s="62">
        <v>11812000</v>
      </c>
      <c r="F77" s="250">
        <v>74610</v>
      </c>
      <c r="G77" s="250">
        <v>313690</v>
      </c>
      <c r="H77" s="250">
        <v>504900</v>
      </c>
      <c r="I77" s="250">
        <f>Ovi!I20</f>
        <v>645716</v>
      </c>
      <c r="J77" s="470">
        <f>E77+F77+G77+H77</f>
        <v>12705200</v>
      </c>
      <c r="K77" s="532">
        <v>13341795</v>
      </c>
      <c r="L77" s="552">
        <f t="shared" si="1"/>
        <v>1.0501050750873657</v>
      </c>
    </row>
    <row r="78" spans="1:12" ht="12" customHeight="1" thickBot="1">
      <c r="A78" s="26" t="s">
        <v>42</v>
      </c>
      <c r="B78" s="27" t="s">
        <v>43</v>
      </c>
      <c r="C78" s="59">
        <f aca="true" t="shared" si="7" ref="C78:H78">C74+C73</f>
        <v>16005</v>
      </c>
      <c r="D78" s="59">
        <f t="shared" si="7"/>
        <v>1411</v>
      </c>
      <c r="E78" s="59">
        <f>(E74+E73)</f>
        <v>29259000</v>
      </c>
      <c r="F78" s="258">
        <f>F74+F73</f>
        <v>2766494</v>
      </c>
      <c r="G78" s="258">
        <f t="shared" si="7"/>
        <v>-638809</v>
      </c>
      <c r="H78" s="258">
        <f t="shared" si="7"/>
        <v>1100000</v>
      </c>
      <c r="I78" s="258">
        <f>I74+I73</f>
        <v>8425979</v>
      </c>
      <c r="J78" s="472">
        <f>E78+F78+G78+H78+I78</f>
        <v>40912664</v>
      </c>
      <c r="K78" s="475">
        <f>K74+K73</f>
        <v>31650617</v>
      </c>
      <c r="L78" s="476">
        <f t="shared" si="1"/>
        <v>0.7736141797072906</v>
      </c>
    </row>
    <row r="79" ht="12" customHeight="1">
      <c r="E79" s="19"/>
    </row>
    <row r="80" spans="5:10" ht="12" customHeight="1">
      <c r="E80" s="19"/>
      <c r="J80" s="182"/>
    </row>
    <row r="81" ht="15">
      <c r="J81" s="182"/>
    </row>
    <row r="82" ht="15">
      <c r="J82" s="182"/>
    </row>
    <row r="101" spans="3:9" ht="15">
      <c r="C101" s="181"/>
      <c r="H101" s="182"/>
      <c r="I101" s="182"/>
    </row>
    <row r="103" spans="8:9" ht="15">
      <c r="H103" s="182"/>
      <c r="I103" s="182"/>
    </row>
    <row r="111" spans="8:9" ht="15">
      <c r="H111" s="182"/>
      <c r="I111" s="182"/>
    </row>
  </sheetData>
  <sheetProtection/>
  <mergeCells count="8">
    <mergeCell ref="B1:E1"/>
    <mergeCell ref="A23:J23"/>
    <mergeCell ref="B2:E2"/>
    <mergeCell ref="A5:E5"/>
    <mergeCell ref="A6:E6"/>
    <mergeCell ref="A9:J9"/>
    <mergeCell ref="A3:L3"/>
    <mergeCell ref="A4:L4"/>
  </mergeCells>
  <printOptions horizontalCentered="1"/>
  <pageMargins left="0.1968503937007874" right="0.1968503937007874" top="0.15748031496062992" bottom="0.15748031496062992" header="0.11811023622047245" footer="0.11811023622047245"/>
  <pageSetup horizontalDpi="600" verticalDpi="600" orientation="portrait" paperSize="9" scale="90" r:id="rId3"/>
  <headerFoot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zoomScale="110" zoomScaleNormal="110" zoomScalePageLayoutView="0" workbookViewId="0" topLeftCell="A1">
      <selection activeCell="O61" sqref="O61"/>
    </sheetView>
  </sheetViews>
  <sheetFormatPr defaultColWidth="9.140625" defaultRowHeight="15"/>
  <cols>
    <col min="2" max="2" width="42.57421875" style="0" customWidth="1"/>
    <col min="3" max="4" width="0" style="0" hidden="1" customWidth="1"/>
    <col min="6" max="9" width="9.140625" style="0" hidden="1" customWidth="1"/>
    <col min="12" max="12" width="9.7109375" style="0" bestFit="1" customWidth="1"/>
  </cols>
  <sheetData>
    <row r="1" spans="1:10" ht="15">
      <c r="A1" s="265">
        <f>Önkormányzat!A1+1</f>
        <v>5</v>
      </c>
      <c r="B1" s="265" t="str">
        <f>Összevont!B1</f>
        <v>. melléklet az 5/2017. (V. 26.) önkormányzati rendelethez</v>
      </c>
      <c r="C1" s="265"/>
      <c r="D1" s="265"/>
      <c r="E1" s="265"/>
      <c r="F1" s="265"/>
      <c r="G1" s="265"/>
      <c r="H1" s="265"/>
      <c r="I1" s="265"/>
      <c r="J1" s="265"/>
    </row>
    <row r="2" spans="1:10" ht="15">
      <c r="A2" s="277"/>
      <c r="B2" s="860"/>
      <c r="C2" s="860"/>
      <c r="D2" s="860"/>
      <c r="E2" s="860"/>
      <c r="F2" s="860"/>
      <c r="G2" s="860"/>
      <c r="H2" s="860"/>
      <c r="I2" s="860"/>
      <c r="J2" s="860"/>
    </row>
    <row r="3" spans="1:12" ht="15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</row>
    <row r="4" spans="1:12" ht="15" customHeight="1">
      <c r="A4" s="866" t="str">
        <f>Összevont!A4</f>
        <v>2016. évi zárszámadás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12" ht="15" customHeight="1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</row>
    <row r="6" spans="1:5" ht="15">
      <c r="A6" s="859" t="s">
        <v>98</v>
      </c>
      <c r="B6" s="859"/>
      <c r="C6" s="859"/>
      <c r="D6" s="859"/>
      <c r="E6" s="859"/>
    </row>
    <row r="7" spans="1:11" ht="15.75" thickBot="1">
      <c r="A7" s="7"/>
      <c r="B7" s="7"/>
      <c r="C7" s="7"/>
      <c r="D7" s="7"/>
      <c r="J7" s="278"/>
      <c r="K7" s="278" t="s">
        <v>363</v>
      </c>
    </row>
    <row r="8" spans="1:12" ht="34.5" thickBot="1">
      <c r="A8" s="237" t="s">
        <v>0</v>
      </c>
      <c r="B8" s="238" t="s">
        <v>1</v>
      </c>
      <c r="C8" s="238" t="s">
        <v>2</v>
      </c>
      <c r="D8" s="238" t="s">
        <v>3</v>
      </c>
      <c r="E8" s="238" t="s">
        <v>322</v>
      </c>
      <c r="F8" s="239" t="s">
        <v>356</v>
      </c>
      <c r="G8" s="239" t="s">
        <v>357</v>
      </c>
      <c r="H8" s="239" t="s">
        <v>358</v>
      </c>
      <c r="I8" s="431" t="s">
        <v>393</v>
      </c>
      <c r="J8" s="486" t="s">
        <v>359</v>
      </c>
      <c r="K8" s="31" t="s">
        <v>398</v>
      </c>
      <c r="L8" s="32" t="s">
        <v>399</v>
      </c>
    </row>
    <row r="9" spans="1:12" ht="12" customHeight="1" thickBot="1">
      <c r="A9" s="861" t="s">
        <v>44</v>
      </c>
      <c r="B9" s="862"/>
      <c r="C9" s="862"/>
      <c r="D9" s="862"/>
      <c r="E9" s="862"/>
      <c r="F9" s="862"/>
      <c r="G9" s="862"/>
      <c r="H9" s="862"/>
      <c r="I9" s="863"/>
      <c r="J9" s="870"/>
      <c r="K9" s="487"/>
      <c r="L9" s="477"/>
    </row>
    <row r="10" spans="1:12" ht="12" customHeight="1" thickBot="1">
      <c r="A10" s="9" t="s">
        <v>6</v>
      </c>
      <c r="B10" s="10" t="s">
        <v>7</v>
      </c>
      <c r="C10" s="11"/>
      <c r="D10" s="11">
        <v>0</v>
      </c>
      <c r="E10" s="11">
        <f>C10+D10</f>
        <v>0</v>
      </c>
      <c r="F10" s="252">
        <f>32774668</f>
        <v>32774668</v>
      </c>
      <c r="G10" s="252">
        <v>0</v>
      </c>
      <c r="H10" s="252">
        <v>0</v>
      </c>
      <c r="I10" s="424">
        <v>5856155</v>
      </c>
      <c r="J10" s="424">
        <f>E10+F10+G10+H10+I10</f>
        <v>38630823</v>
      </c>
      <c r="K10" s="260">
        <f>5023014+33607809</f>
        <v>38630823</v>
      </c>
      <c r="L10" s="483">
        <f>K10/J10</f>
        <v>1</v>
      </c>
    </row>
    <row r="11" spans="1:12" ht="12" customHeight="1" thickBot="1">
      <c r="A11" s="9" t="s">
        <v>8</v>
      </c>
      <c r="B11" s="10" t="s">
        <v>45</v>
      </c>
      <c r="C11" s="11">
        <v>0</v>
      </c>
      <c r="D11" s="11">
        <v>0</v>
      </c>
      <c r="E11" s="11">
        <f aca="true" t="shared" si="0" ref="E11:E17">C11+D11</f>
        <v>0</v>
      </c>
      <c r="F11" s="252">
        <v>3896565</v>
      </c>
      <c r="G11" s="252">
        <v>0</v>
      </c>
      <c r="H11" s="252">
        <v>0</v>
      </c>
      <c r="I11" s="424">
        <v>-110230</v>
      </c>
      <c r="J11" s="424">
        <f aca="true" t="shared" si="1" ref="J11:J18">E11+F11+G11+H11+I11</f>
        <v>3786335</v>
      </c>
      <c r="K11" s="260">
        <f>519537+3266798</f>
        <v>3786335</v>
      </c>
      <c r="L11" s="483">
        <f>K11/J11</f>
        <v>1</v>
      </c>
    </row>
    <row r="12" spans="1:12" ht="12" customHeight="1" thickBot="1">
      <c r="A12" s="9" t="s">
        <v>9</v>
      </c>
      <c r="B12" s="10" t="s">
        <v>10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424">
        <v>0</v>
      </c>
      <c r="J12" s="424">
        <f t="shared" si="1"/>
        <v>0</v>
      </c>
      <c r="K12" s="260">
        <v>0</v>
      </c>
      <c r="L12" s="483">
        <v>0</v>
      </c>
    </row>
    <row r="13" spans="1:12" ht="12" customHeight="1" thickBot="1">
      <c r="A13" s="9" t="s">
        <v>11</v>
      </c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424">
        <v>687561</v>
      </c>
      <c r="J13" s="424">
        <f t="shared" si="1"/>
        <v>687561</v>
      </c>
      <c r="K13" s="260">
        <v>687561</v>
      </c>
      <c r="L13" s="483">
        <f>K13/J13</f>
        <v>1</v>
      </c>
    </row>
    <row r="14" spans="1:12" ht="12" customHeight="1" thickBot="1">
      <c r="A14" s="9" t="s">
        <v>14</v>
      </c>
      <c r="B14" s="10" t="s">
        <v>15</v>
      </c>
      <c r="C14" s="11">
        <v>0</v>
      </c>
      <c r="D14" s="11">
        <v>0</v>
      </c>
      <c r="E14" s="11">
        <f t="shared" si="0"/>
        <v>0</v>
      </c>
      <c r="F14" s="11">
        <f aca="true" t="shared" si="2" ref="F14:H16">D14+E14</f>
        <v>0</v>
      </c>
      <c r="G14" s="11">
        <f t="shared" si="2"/>
        <v>0</v>
      </c>
      <c r="H14" s="11">
        <f t="shared" si="2"/>
        <v>0</v>
      </c>
      <c r="I14" s="424">
        <v>0</v>
      </c>
      <c r="J14" s="424">
        <f t="shared" si="1"/>
        <v>0</v>
      </c>
      <c r="K14" s="260">
        <v>0</v>
      </c>
      <c r="L14" s="483">
        <v>0</v>
      </c>
    </row>
    <row r="15" spans="1:12" ht="12" customHeight="1" thickBot="1">
      <c r="A15" s="9" t="s">
        <v>16</v>
      </c>
      <c r="B15" s="10" t="s">
        <v>17</v>
      </c>
      <c r="C15" s="11">
        <v>0</v>
      </c>
      <c r="D15" s="11">
        <v>0</v>
      </c>
      <c r="E15" s="11">
        <f t="shared" si="0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424">
        <v>0</v>
      </c>
      <c r="J15" s="424">
        <f t="shared" si="1"/>
        <v>0</v>
      </c>
      <c r="K15" s="260">
        <v>0</v>
      </c>
      <c r="L15" s="483">
        <v>0</v>
      </c>
    </row>
    <row r="16" spans="1:12" ht="12" customHeight="1" thickBot="1">
      <c r="A16" s="9" t="s">
        <v>18</v>
      </c>
      <c r="B16" s="10" t="s">
        <v>19</v>
      </c>
      <c r="C16" s="11">
        <v>0</v>
      </c>
      <c r="D16" s="11">
        <v>0</v>
      </c>
      <c r="E16" s="11">
        <f t="shared" si="0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424">
        <v>0</v>
      </c>
      <c r="J16" s="424">
        <f t="shared" si="1"/>
        <v>0</v>
      </c>
      <c r="K16" s="260">
        <v>0</v>
      </c>
      <c r="L16" s="483">
        <v>0</v>
      </c>
    </row>
    <row r="17" spans="1:12" ht="12" customHeight="1" thickBot="1">
      <c r="A17" s="9" t="s">
        <v>20</v>
      </c>
      <c r="B17" s="12" t="s">
        <v>21</v>
      </c>
      <c r="C17" s="13">
        <f>SUM(C10:C16)</f>
        <v>0</v>
      </c>
      <c r="D17" s="13">
        <f>SUM(D10:D16)</f>
        <v>0</v>
      </c>
      <c r="E17" s="13">
        <f t="shared" si="0"/>
        <v>0</v>
      </c>
      <c r="F17" s="13">
        <f>SUM(F10:F16)</f>
        <v>36671233</v>
      </c>
      <c r="G17" s="13">
        <f>SUM(G10:G16)</f>
        <v>0</v>
      </c>
      <c r="H17" s="13">
        <f>SUM(H10:H16)</f>
        <v>0</v>
      </c>
      <c r="I17" s="13">
        <f>SUM(I10:I16)</f>
        <v>6433486</v>
      </c>
      <c r="J17" s="424">
        <f t="shared" si="1"/>
        <v>43104719</v>
      </c>
      <c r="K17" s="260">
        <f>SUM(K10:K16)</f>
        <v>43104719</v>
      </c>
      <c r="L17" s="483">
        <f>K17/J17</f>
        <v>1</v>
      </c>
    </row>
    <row r="18" spans="1:12" ht="12" customHeight="1" thickBot="1">
      <c r="A18" s="9" t="s">
        <v>23</v>
      </c>
      <c r="B18" s="10" t="s">
        <v>22</v>
      </c>
      <c r="C18" s="11">
        <f>SUM(C19:C20)</f>
        <v>7866</v>
      </c>
      <c r="D18" s="11">
        <f>SUM(D19:D20)</f>
        <v>0</v>
      </c>
      <c r="E18" s="11">
        <f>(C18+D18)*1000</f>
        <v>7866000</v>
      </c>
      <c r="F18" s="252">
        <f>F19+F20</f>
        <v>0</v>
      </c>
      <c r="G18" s="252">
        <f>G19+G20</f>
        <v>0</v>
      </c>
      <c r="H18" s="252">
        <f>H19+H20</f>
        <v>0</v>
      </c>
      <c r="I18" s="252">
        <f>I19+I20</f>
        <v>0</v>
      </c>
      <c r="J18" s="424">
        <f t="shared" si="1"/>
        <v>7866000</v>
      </c>
      <c r="K18" s="260">
        <f>SUM(K19:K20)</f>
        <v>7866000</v>
      </c>
      <c r="L18" s="483">
        <f>K18/J18</f>
        <v>1</v>
      </c>
    </row>
    <row r="19" spans="1:12" ht="12" customHeight="1">
      <c r="A19" s="38"/>
      <c r="B19" s="14" t="s">
        <v>46</v>
      </c>
      <c r="C19" s="15">
        <v>7866</v>
      </c>
      <c r="D19" s="15">
        <v>0</v>
      </c>
      <c r="E19" s="15">
        <f>(C19+D19)*1000</f>
        <v>7866000</v>
      </c>
      <c r="F19" s="249">
        <v>0</v>
      </c>
      <c r="G19" s="249">
        <v>0</v>
      </c>
      <c r="H19" s="249">
        <v>0</v>
      </c>
      <c r="I19" s="428">
        <v>0</v>
      </c>
      <c r="J19" s="428">
        <f>E19+F19+G19+H19</f>
        <v>7866000</v>
      </c>
      <c r="K19" s="539">
        <v>7866000</v>
      </c>
      <c r="L19" s="540">
        <f>K19/J19</f>
        <v>1</v>
      </c>
    </row>
    <row r="20" spans="1:12" ht="12" customHeight="1" thickBot="1">
      <c r="A20" s="40"/>
      <c r="B20" s="16" t="s">
        <v>47</v>
      </c>
      <c r="C20" s="17">
        <v>0</v>
      </c>
      <c r="D20" s="17">
        <v>0</v>
      </c>
      <c r="E20" s="17">
        <v>0</v>
      </c>
      <c r="F20" s="251">
        <v>0</v>
      </c>
      <c r="G20" s="251">
        <v>0</v>
      </c>
      <c r="H20" s="251">
        <v>0</v>
      </c>
      <c r="I20" s="427">
        <v>0</v>
      </c>
      <c r="J20" s="427">
        <f>E20+F20+G20+H20</f>
        <v>0</v>
      </c>
      <c r="K20" s="541">
        <v>0</v>
      </c>
      <c r="L20" s="535">
        <v>0</v>
      </c>
    </row>
    <row r="21" spans="1:12" ht="12" customHeight="1" thickBot="1">
      <c r="A21" s="9" t="s">
        <v>24</v>
      </c>
      <c r="B21" s="10" t="s">
        <v>25</v>
      </c>
      <c r="C21" s="11">
        <f>C17+C18</f>
        <v>7866</v>
      </c>
      <c r="D21" s="11">
        <f>D16+D18</f>
        <v>0</v>
      </c>
      <c r="E21" s="11">
        <f>(C21+D21)*1000</f>
        <v>7866000</v>
      </c>
      <c r="F21" s="252">
        <f>F18+F17</f>
        <v>36671233</v>
      </c>
      <c r="G21" s="252">
        <f>G18+G17</f>
        <v>0</v>
      </c>
      <c r="H21" s="252">
        <f>H18+H17</f>
        <v>0</v>
      </c>
      <c r="I21" s="252">
        <f>I18+I17</f>
        <v>6433486</v>
      </c>
      <c r="J21" s="424">
        <f>E21+F21+G21+H21+I21</f>
        <v>50970719</v>
      </c>
      <c r="K21" s="260">
        <f>K18+K17</f>
        <v>50970719</v>
      </c>
      <c r="L21" s="483">
        <f>K21/J21</f>
        <v>1</v>
      </c>
    </row>
    <row r="22" spans="1:12" ht="12" customHeight="1" thickBot="1">
      <c r="A22" s="494"/>
      <c r="B22" s="495"/>
      <c r="C22" s="496"/>
      <c r="D22" s="496"/>
      <c r="E22" s="496"/>
      <c r="F22" s="497"/>
      <c r="G22" s="497"/>
      <c r="H22" s="497"/>
      <c r="I22" s="497"/>
      <c r="J22" s="497"/>
      <c r="K22" s="482"/>
      <c r="L22" s="483"/>
    </row>
    <row r="23" spans="1:12" ht="12" customHeight="1" thickBot="1">
      <c r="A23" s="868" t="s">
        <v>48</v>
      </c>
      <c r="B23" s="869"/>
      <c r="C23" s="869"/>
      <c r="D23" s="869"/>
      <c r="E23" s="869"/>
      <c r="F23" s="869"/>
      <c r="G23" s="869"/>
      <c r="H23" s="869"/>
      <c r="I23" s="869"/>
      <c r="J23" s="869"/>
      <c r="K23" s="482"/>
      <c r="L23" s="483"/>
    </row>
    <row r="24" spans="1:12" ht="12" customHeight="1" thickBot="1">
      <c r="A24" s="9" t="s">
        <v>26</v>
      </c>
      <c r="B24" s="10" t="s">
        <v>27</v>
      </c>
      <c r="C24" s="11">
        <f aca="true" t="shared" si="3" ref="C24:I24">C25+C33</f>
        <v>6682</v>
      </c>
      <c r="D24" s="11">
        <f t="shared" si="3"/>
        <v>0</v>
      </c>
      <c r="E24" s="55">
        <f t="shared" si="3"/>
        <v>6682000</v>
      </c>
      <c r="F24" s="252">
        <f t="shared" si="3"/>
        <v>25055249</v>
      </c>
      <c r="G24" s="252">
        <f>G25+G33</f>
        <v>30326</v>
      </c>
      <c r="H24" s="252">
        <f t="shared" si="3"/>
        <v>120000</v>
      </c>
      <c r="I24" s="252">
        <f t="shared" si="3"/>
        <v>10000</v>
      </c>
      <c r="J24" s="424">
        <f>E24+F24+G24+H24+I24</f>
        <v>31897575</v>
      </c>
      <c r="K24" s="260">
        <f>K25+K33</f>
        <v>31580778</v>
      </c>
      <c r="L24" s="483">
        <f>K24/J24</f>
        <v>0.9900683045654725</v>
      </c>
    </row>
    <row r="25" spans="1:12" ht="12" customHeight="1">
      <c r="A25" s="38" t="s">
        <v>49</v>
      </c>
      <c r="B25" s="14" t="s">
        <v>50</v>
      </c>
      <c r="C25" s="15">
        <f>SUM(C26:C32)</f>
        <v>6682</v>
      </c>
      <c r="D25" s="15">
        <f>SUM(D26:D32)</f>
        <v>0</v>
      </c>
      <c r="E25" s="241">
        <f>(D25+C25)*1000</f>
        <v>6682000</v>
      </c>
      <c r="F25" s="249">
        <f>SUM(F26:F32)</f>
        <v>25055249</v>
      </c>
      <c r="G25" s="249">
        <f>SUM(G26:G32)</f>
        <v>30326</v>
      </c>
      <c r="H25" s="249">
        <f>SUM(H26:H32)</f>
        <v>120000</v>
      </c>
      <c r="I25" s="249">
        <f>SUM(I26:I32)</f>
        <v>10000</v>
      </c>
      <c r="J25" s="428">
        <f>E25+F25+G25+H25+I25</f>
        <v>31897575</v>
      </c>
      <c r="K25" s="539">
        <f>SUM(K26:K32)</f>
        <v>31580778</v>
      </c>
      <c r="L25" s="540">
        <f>K25/J25</f>
        <v>0.9900683045654725</v>
      </c>
    </row>
    <row r="26" spans="1:12" ht="12" customHeight="1">
      <c r="A26" s="34"/>
      <c r="B26" s="20" t="s">
        <v>51</v>
      </c>
      <c r="C26" s="21">
        <f>475+2137+4061</f>
        <v>6673</v>
      </c>
      <c r="D26" s="21">
        <v>0</v>
      </c>
      <c r="E26" s="241">
        <f>(D26+C26)*1000</f>
        <v>6673000</v>
      </c>
      <c r="F26" s="250">
        <f>-3500+24994929</f>
        <v>24991429</v>
      </c>
      <c r="G26" s="250">
        <v>30326</v>
      </c>
      <c r="H26" s="250">
        <v>0</v>
      </c>
      <c r="I26" s="426">
        <v>0</v>
      </c>
      <c r="J26" s="426">
        <f>E26+F26+G26+H26+I26</f>
        <v>31694755</v>
      </c>
      <c r="K26" s="532">
        <v>31382980</v>
      </c>
      <c r="L26" s="536">
        <f>K26/J26</f>
        <v>0.9901631989267625</v>
      </c>
    </row>
    <row r="27" spans="1:12" ht="12" customHeight="1">
      <c r="A27" s="34"/>
      <c r="B27" s="20" t="s">
        <v>52</v>
      </c>
      <c r="C27" s="21">
        <v>0</v>
      </c>
      <c r="D27" s="21">
        <v>0</v>
      </c>
      <c r="E27" s="241">
        <f aca="true" t="shared" si="4" ref="E27:I28">C27+D27</f>
        <v>0</v>
      </c>
      <c r="F27" s="241">
        <f t="shared" si="4"/>
        <v>0</v>
      </c>
      <c r="G27" s="241">
        <f t="shared" si="4"/>
        <v>0</v>
      </c>
      <c r="H27" s="241">
        <f t="shared" si="4"/>
        <v>0</v>
      </c>
      <c r="I27" s="241">
        <f t="shared" si="4"/>
        <v>0</v>
      </c>
      <c r="J27" s="426">
        <f aca="true" t="shared" si="5" ref="J27:J36">E27+F27+G27+H27+I27</f>
        <v>0</v>
      </c>
      <c r="K27" s="532">
        <v>0</v>
      </c>
      <c r="L27" s="536">
        <v>0</v>
      </c>
    </row>
    <row r="28" spans="1:12" ht="12" customHeight="1">
      <c r="A28" s="34"/>
      <c r="B28" s="20" t="s">
        <v>53</v>
      </c>
      <c r="C28" s="21">
        <v>0</v>
      </c>
      <c r="D28" s="21">
        <v>0</v>
      </c>
      <c r="E28" s="241">
        <f t="shared" si="4"/>
        <v>0</v>
      </c>
      <c r="F28" s="241">
        <f t="shared" si="4"/>
        <v>0</v>
      </c>
      <c r="G28" s="241">
        <f t="shared" si="4"/>
        <v>0</v>
      </c>
      <c r="H28" s="241">
        <f t="shared" si="4"/>
        <v>0</v>
      </c>
      <c r="I28" s="241">
        <f t="shared" si="4"/>
        <v>0</v>
      </c>
      <c r="J28" s="426">
        <f t="shared" si="5"/>
        <v>0</v>
      </c>
      <c r="K28" s="532">
        <v>0</v>
      </c>
      <c r="L28" s="536">
        <v>0</v>
      </c>
    </row>
    <row r="29" spans="1:12" ht="12" customHeight="1">
      <c r="A29" s="34"/>
      <c r="B29" s="20" t="s">
        <v>54</v>
      </c>
      <c r="C29" s="21">
        <v>0</v>
      </c>
      <c r="D29" s="2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426">
        <f t="shared" si="5"/>
        <v>0</v>
      </c>
      <c r="K29" s="532">
        <v>0</v>
      </c>
      <c r="L29" s="536">
        <v>0</v>
      </c>
    </row>
    <row r="30" spans="1:12" ht="12" customHeight="1">
      <c r="A30" s="34"/>
      <c r="B30" s="20" t="s">
        <v>55</v>
      </c>
      <c r="C30" s="21">
        <v>9</v>
      </c>
      <c r="D30" s="21">
        <v>0</v>
      </c>
      <c r="E30" s="241">
        <v>9000</v>
      </c>
      <c r="F30" s="250">
        <v>30000</v>
      </c>
      <c r="G30" s="250">
        <v>0</v>
      </c>
      <c r="H30" s="250">
        <v>0</v>
      </c>
      <c r="I30" s="426">
        <v>0</v>
      </c>
      <c r="J30" s="426">
        <f t="shared" si="5"/>
        <v>39000</v>
      </c>
      <c r="K30" s="532">
        <v>37298</v>
      </c>
      <c r="L30" s="536">
        <f>K30/J30</f>
        <v>0.9563589743589743</v>
      </c>
    </row>
    <row r="31" spans="1:12" ht="12" customHeight="1">
      <c r="A31" s="34"/>
      <c r="B31" s="20" t="s">
        <v>56</v>
      </c>
      <c r="C31" s="21">
        <v>0</v>
      </c>
      <c r="D31" s="2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426">
        <f t="shared" si="5"/>
        <v>0</v>
      </c>
      <c r="K31" s="532">
        <v>0</v>
      </c>
      <c r="L31" s="536">
        <v>0</v>
      </c>
    </row>
    <row r="32" spans="1:12" ht="12" customHeight="1">
      <c r="A32" s="34"/>
      <c r="B32" s="20" t="s">
        <v>57</v>
      </c>
      <c r="C32" s="21">
        <v>0</v>
      </c>
      <c r="D32" s="21">
        <v>0</v>
      </c>
      <c r="E32" s="241">
        <v>0</v>
      </c>
      <c r="F32" s="250">
        <v>33820</v>
      </c>
      <c r="G32" s="250"/>
      <c r="H32" s="250">
        <v>120000</v>
      </c>
      <c r="I32" s="426">
        <v>10000</v>
      </c>
      <c r="J32" s="426">
        <f t="shared" si="5"/>
        <v>163820</v>
      </c>
      <c r="K32" s="532">
        <v>160500</v>
      </c>
      <c r="L32" s="536">
        <f>K32/J32</f>
        <v>0.9797338542302527</v>
      </c>
    </row>
    <row r="33" spans="1:12" ht="12" customHeight="1">
      <c r="A33" s="34" t="s">
        <v>58</v>
      </c>
      <c r="B33" s="20" t="s">
        <v>59</v>
      </c>
      <c r="C33" s="21">
        <f>C34+C35+C36</f>
        <v>0</v>
      </c>
      <c r="D33" s="21">
        <f>D34+D35+D36</f>
        <v>0</v>
      </c>
      <c r="E33" s="62">
        <f>E34+E35+E36</f>
        <v>0</v>
      </c>
      <c r="F33" s="250">
        <f>SUM(F34:F36)</f>
        <v>0</v>
      </c>
      <c r="G33" s="250">
        <f>SUM(G34:G36)</f>
        <v>0</v>
      </c>
      <c r="H33" s="250">
        <f>SUM(H34:H36)</f>
        <v>0</v>
      </c>
      <c r="I33" s="426">
        <v>0</v>
      </c>
      <c r="J33" s="426">
        <f t="shared" si="5"/>
        <v>0</v>
      </c>
      <c r="K33" s="532">
        <v>0</v>
      </c>
      <c r="L33" s="536">
        <v>0</v>
      </c>
    </row>
    <row r="34" spans="1:12" ht="12" customHeight="1">
      <c r="A34" s="34"/>
      <c r="B34" s="20" t="s">
        <v>60</v>
      </c>
      <c r="C34" s="21">
        <v>0</v>
      </c>
      <c r="D34" s="21">
        <v>0</v>
      </c>
      <c r="E34" s="241">
        <f aca="true" t="shared" si="6" ref="E34:I36">C34+D34</f>
        <v>0</v>
      </c>
      <c r="F34" s="241">
        <f t="shared" si="6"/>
        <v>0</v>
      </c>
      <c r="G34" s="241">
        <f t="shared" si="6"/>
        <v>0</v>
      </c>
      <c r="H34" s="241">
        <f t="shared" si="6"/>
        <v>0</v>
      </c>
      <c r="I34" s="241">
        <f t="shared" si="6"/>
        <v>0</v>
      </c>
      <c r="J34" s="426">
        <f t="shared" si="5"/>
        <v>0</v>
      </c>
      <c r="K34" s="532">
        <v>0</v>
      </c>
      <c r="L34" s="536">
        <v>0</v>
      </c>
    </row>
    <row r="35" spans="1:12" ht="12" customHeight="1">
      <c r="A35" s="34"/>
      <c r="B35" s="20" t="s">
        <v>85</v>
      </c>
      <c r="C35" s="21">
        <v>0</v>
      </c>
      <c r="D35" s="21">
        <v>0</v>
      </c>
      <c r="E35" s="241">
        <f t="shared" si="6"/>
        <v>0</v>
      </c>
      <c r="F35" s="241">
        <f t="shared" si="6"/>
        <v>0</v>
      </c>
      <c r="G35" s="241">
        <f t="shared" si="6"/>
        <v>0</v>
      </c>
      <c r="H35" s="241">
        <f t="shared" si="6"/>
        <v>0</v>
      </c>
      <c r="I35" s="241">
        <f t="shared" si="6"/>
        <v>0</v>
      </c>
      <c r="J35" s="426">
        <f t="shared" si="5"/>
        <v>0</v>
      </c>
      <c r="K35" s="532">
        <v>0</v>
      </c>
      <c r="L35" s="536">
        <v>0</v>
      </c>
    </row>
    <row r="36" spans="1:12" ht="12" customHeight="1" thickBot="1">
      <c r="A36" s="40"/>
      <c r="B36" s="16" t="s">
        <v>61</v>
      </c>
      <c r="C36" s="17">
        <v>0</v>
      </c>
      <c r="D36" s="17">
        <v>0</v>
      </c>
      <c r="E36" s="241">
        <f t="shared" si="6"/>
        <v>0</v>
      </c>
      <c r="F36" s="241">
        <f t="shared" si="6"/>
        <v>0</v>
      </c>
      <c r="G36" s="241">
        <f t="shared" si="6"/>
        <v>0</v>
      </c>
      <c r="H36" s="241">
        <f t="shared" si="6"/>
        <v>0</v>
      </c>
      <c r="I36" s="241">
        <f t="shared" si="6"/>
        <v>0</v>
      </c>
      <c r="J36" s="426">
        <f t="shared" si="5"/>
        <v>0</v>
      </c>
      <c r="K36" s="541"/>
      <c r="L36" s="535">
        <v>0</v>
      </c>
    </row>
    <row r="37" spans="1:12" ht="12" customHeight="1" thickBot="1">
      <c r="A37" s="9" t="s">
        <v>28</v>
      </c>
      <c r="B37" s="22" t="s">
        <v>84</v>
      </c>
      <c r="C37" s="11">
        <f>SUM(C38:C40)</f>
        <v>901</v>
      </c>
      <c r="D37" s="11">
        <f>SUM(D38:D40)</f>
        <v>0</v>
      </c>
      <c r="E37" s="55">
        <f>(C37+D37)*1000</f>
        <v>901000</v>
      </c>
      <c r="F37" s="252">
        <f>F38+F39+F40</f>
        <v>3818212</v>
      </c>
      <c r="G37" s="252">
        <f>G38+G39+G40</f>
        <v>0</v>
      </c>
      <c r="H37" s="252">
        <f>H38+H39+H40</f>
        <v>0</v>
      </c>
      <c r="I37" s="252">
        <f>I38+I39+I40</f>
        <v>0</v>
      </c>
      <c r="J37" s="424">
        <f>E37+F37+G37+H37</f>
        <v>4719212</v>
      </c>
      <c r="K37" s="260">
        <f>SUM(K38:K40)</f>
        <v>4272868</v>
      </c>
      <c r="L37" s="483">
        <f>K37/J37</f>
        <v>0.9054198031366254</v>
      </c>
    </row>
    <row r="38" spans="1:12" ht="12" customHeight="1">
      <c r="A38" s="34"/>
      <c r="B38" s="20" t="s">
        <v>62</v>
      </c>
      <c r="C38" s="15">
        <f>64+289+548</f>
        <v>901</v>
      </c>
      <c r="D38" s="21">
        <v>0</v>
      </c>
      <c r="E38" s="241">
        <v>901000</v>
      </c>
      <c r="F38" s="249">
        <f>3810112+8100</f>
        <v>3818212</v>
      </c>
      <c r="G38" s="249">
        <v>0</v>
      </c>
      <c r="H38" s="249">
        <v>0</v>
      </c>
      <c r="I38" s="428">
        <v>0</v>
      </c>
      <c r="J38" s="428">
        <f>E38+F38+G38+H38</f>
        <v>4719212</v>
      </c>
      <c r="K38" s="539">
        <v>4272868</v>
      </c>
      <c r="L38" s="540">
        <f>K38/J38</f>
        <v>0.9054198031366254</v>
      </c>
    </row>
    <row r="39" spans="1:12" ht="12" customHeight="1">
      <c r="A39" s="34"/>
      <c r="B39" s="20" t="s">
        <v>63</v>
      </c>
      <c r="C39" s="21">
        <v>0</v>
      </c>
      <c r="D39" s="21">
        <v>0</v>
      </c>
      <c r="E39" s="241">
        <v>0</v>
      </c>
      <c r="F39" s="250">
        <v>0</v>
      </c>
      <c r="G39" s="250">
        <v>0</v>
      </c>
      <c r="H39" s="250">
        <v>0</v>
      </c>
      <c r="I39" s="426">
        <v>0</v>
      </c>
      <c r="J39" s="426">
        <f>E39+F39+G39+H39</f>
        <v>0</v>
      </c>
      <c r="K39" s="532">
        <v>0</v>
      </c>
      <c r="L39" s="536">
        <v>0</v>
      </c>
    </row>
    <row r="40" spans="1:12" ht="12" customHeight="1" thickBot="1">
      <c r="A40" s="40"/>
      <c r="B40" s="16" t="s">
        <v>64</v>
      </c>
      <c r="C40" s="17">
        <v>0</v>
      </c>
      <c r="D40" s="17">
        <v>0</v>
      </c>
      <c r="E40" s="242">
        <v>0</v>
      </c>
      <c r="F40" s="251">
        <v>0</v>
      </c>
      <c r="G40" s="251">
        <v>0</v>
      </c>
      <c r="H40" s="251">
        <v>0</v>
      </c>
      <c r="I40" s="427">
        <v>0</v>
      </c>
      <c r="J40" s="427">
        <f>E40+F40+G40+H40</f>
        <v>0</v>
      </c>
      <c r="K40" s="541">
        <v>0</v>
      </c>
      <c r="L40" s="535">
        <v>0</v>
      </c>
    </row>
    <row r="41" spans="1:12" ht="12" customHeight="1" thickBot="1">
      <c r="A41" s="9" t="s">
        <v>29</v>
      </c>
      <c r="B41" s="10" t="s">
        <v>30</v>
      </c>
      <c r="C41" s="11">
        <f>SUM(C42,C44,C52)</f>
        <v>283</v>
      </c>
      <c r="D41" s="11">
        <f>SUM(D42:D56)</f>
        <v>0</v>
      </c>
      <c r="E41" s="55">
        <f>(C41+D41)*1000</f>
        <v>283000</v>
      </c>
      <c r="F41" s="252">
        <f>F42+F43+F44+F51+F52</f>
        <v>3901206</v>
      </c>
      <c r="G41" s="252">
        <f>G42+G43+G44+G51+G52</f>
        <v>0</v>
      </c>
      <c r="H41" s="252">
        <f>H42+H43+H44+H51+H52</f>
        <v>0</v>
      </c>
      <c r="I41" s="252">
        <f>I42+I43+I44+I51+I52</f>
        <v>650000</v>
      </c>
      <c r="J41" s="424">
        <f>E41+F41+G41+H41+I41</f>
        <v>4834206</v>
      </c>
      <c r="K41" s="260">
        <f>K42+K43+K44+K51+K52</f>
        <v>4826107</v>
      </c>
      <c r="L41" s="483">
        <f>K41/J41</f>
        <v>0.9983246473154019</v>
      </c>
    </row>
    <row r="42" spans="1:12" ht="12" customHeight="1">
      <c r="A42" s="38" t="s">
        <v>65</v>
      </c>
      <c r="B42" s="14" t="s">
        <v>67</v>
      </c>
      <c r="C42" s="15">
        <v>223</v>
      </c>
      <c r="D42" s="15">
        <v>0</v>
      </c>
      <c r="E42" s="241">
        <f>(C42+D42)*1000</f>
        <v>223000</v>
      </c>
      <c r="F42" s="249">
        <f>328960+539420+150766+849238+107745+889686</f>
        <v>2865815</v>
      </c>
      <c r="G42" s="249">
        <v>0</v>
      </c>
      <c r="H42" s="249">
        <v>0</v>
      </c>
      <c r="I42" s="428">
        <v>310000</v>
      </c>
      <c r="J42" s="428">
        <f>E42+F42+G42+H42+I42</f>
        <v>3398815</v>
      </c>
      <c r="K42" s="539">
        <v>3393598</v>
      </c>
      <c r="L42" s="540">
        <f>K42/J42</f>
        <v>0.9984650532612102</v>
      </c>
    </row>
    <row r="43" spans="1:12" ht="12" customHeight="1">
      <c r="A43" s="34" t="s">
        <v>66</v>
      </c>
      <c r="B43" s="20" t="s">
        <v>68</v>
      </c>
      <c r="C43" s="21">
        <v>0</v>
      </c>
      <c r="D43" s="21">
        <v>0</v>
      </c>
      <c r="E43" s="241">
        <v>0</v>
      </c>
      <c r="F43" s="250">
        <v>0</v>
      </c>
      <c r="G43" s="250">
        <v>0</v>
      </c>
      <c r="H43" s="250">
        <v>0</v>
      </c>
      <c r="I43" s="426">
        <v>0</v>
      </c>
      <c r="J43" s="426">
        <v>0</v>
      </c>
      <c r="K43" s="532">
        <v>0</v>
      </c>
      <c r="L43" s="536">
        <v>0</v>
      </c>
    </row>
    <row r="44" spans="1:12" ht="12" customHeight="1">
      <c r="A44" s="34" t="s">
        <v>69</v>
      </c>
      <c r="B44" s="20" t="s">
        <v>70</v>
      </c>
      <c r="C44" s="21">
        <f aca="true" t="shared" si="7" ref="C44:H44">SUM(C45:C50)</f>
        <v>0</v>
      </c>
      <c r="D44" s="21">
        <f t="shared" si="7"/>
        <v>0</v>
      </c>
      <c r="E44" s="62">
        <f t="shared" si="7"/>
        <v>0</v>
      </c>
      <c r="F44" s="250">
        <f t="shared" si="7"/>
        <v>206000</v>
      </c>
      <c r="G44" s="250">
        <f t="shared" si="7"/>
        <v>0</v>
      </c>
      <c r="H44" s="250">
        <f t="shared" si="7"/>
        <v>0</v>
      </c>
      <c r="I44" s="250">
        <f>SUM(I45:I50)</f>
        <v>220000</v>
      </c>
      <c r="J44" s="426">
        <f>E44+F44+G44+H44+I44</f>
        <v>426000</v>
      </c>
      <c r="K44" s="532">
        <f>SUM(K45:K50)</f>
        <v>424616</v>
      </c>
      <c r="L44" s="536">
        <f>K44/J44</f>
        <v>0.9967511737089202</v>
      </c>
    </row>
    <row r="45" spans="1:12" ht="12" customHeight="1">
      <c r="A45" s="34"/>
      <c r="B45" s="20" t="s">
        <v>91</v>
      </c>
      <c r="C45" s="21">
        <v>0</v>
      </c>
      <c r="D45" s="21">
        <v>0</v>
      </c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426">
        <f aca="true" t="shared" si="8" ref="J45:J57">E45+F45+G45+H45+I45</f>
        <v>0</v>
      </c>
      <c r="K45" s="532">
        <v>0</v>
      </c>
      <c r="L45" s="536">
        <v>0</v>
      </c>
    </row>
    <row r="46" spans="1:12" ht="12" customHeight="1">
      <c r="A46" s="34"/>
      <c r="B46" s="23" t="s">
        <v>97</v>
      </c>
      <c r="C46" s="21">
        <v>0</v>
      </c>
      <c r="D46" s="21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426">
        <f t="shared" si="8"/>
        <v>0</v>
      </c>
      <c r="K46" s="532">
        <v>0</v>
      </c>
      <c r="L46" s="536">
        <v>0</v>
      </c>
    </row>
    <row r="47" spans="1:12" ht="12" customHeight="1">
      <c r="A47" s="34"/>
      <c r="B47" s="20" t="s">
        <v>71</v>
      </c>
      <c r="C47" s="21">
        <v>0</v>
      </c>
      <c r="D47" s="21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426">
        <f t="shared" si="8"/>
        <v>0</v>
      </c>
      <c r="K47" s="532"/>
      <c r="L47" s="536">
        <v>0</v>
      </c>
    </row>
    <row r="48" spans="1:12" ht="12" customHeight="1">
      <c r="A48" s="34"/>
      <c r="B48" s="20" t="s">
        <v>92</v>
      </c>
      <c r="C48" s="21">
        <v>0</v>
      </c>
      <c r="D48" s="21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426">
        <f t="shared" si="8"/>
        <v>0</v>
      </c>
      <c r="K48" s="532">
        <v>0</v>
      </c>
      <c r="L48" s="536">
        <v>0</v>
      </c>
    </row>
    <row r="49" spans="1:12" ht="12" customHeight="1">
      <c r="A49" s="34"/>
      <c r="B49" s="20" t="s">
        <v>72</v>
      </c>
      <c r="C49" s="21">
        <v>0</v>
      </c>
      <c r="D49" s="21">
        <v>0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426">
        <f t="shared" si="8"/>
        <v>0</v>
      </c>
      <c r="K49" s="532">
        <v>0</v>
      </c>
      <c r="L49" s="536">
        <v>0</v>
      </c>
    </row>
    <row r="50" spans="1:12" ht="12" customHeight="1">
      <c r="A50" s="34"/>
      <c r="B50" s="20" t="s">
        <v>73</v>
      </c>
      <c r="C50" s="21">
        <v>0</v>
      </c>
      <c r="D50" s="21">
        <v>0</v>
      </c>
      <c r="E50" s="241">
        <f>C50+D50</f>
        <v>0</v>
      </c>
      <c r="F50" s="250">
        <f>100000+106000</f>
        <v>206000</v>
      </c>
      <c r="G50" s="250">
        <v>0</v>
      </c>
      <c r="H50" s="250">
        <v>0</v>
      </c>
      <c r="I50" s="426">
        <v>220000</v>
      </c>
      <c r="J50" s="426">
        <f t="shared" si="8"/>
        <v>426000</v>
      </c>
      <c r="K50" s="532">
        <v>424616</v>
      </c>
      <c r="L50" s="536">
        <f>K50/J50</f>
        <v>0.9967511737089202</v>
      </c>
    </row>
    <row r="51" spans="1:12" ht="12" customHeight="1">
      <c r="A51" s="34" t="s">
        <v>74</v>
      </c>
      <c r="B51" s="20" t="s">
        <v>75</v>
      </c>
      <c r="C51" s="21">
        <v>0</v>
      </c>
      <c r="D51" s="21">
        <v>0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426">
        <f t="shared" si="8"/>
        <v>0</v>
      </c>
      <c r="K51" s="532">
        <v>0</v>
      </c>
      <c r="L51" s="536">
        <v>0</v>
      </c>
    </row>
    <row r="52" spans="1:12" ht="12" customHeight="1">
      <c r="A52" s="34" t="s">
        <v>76</v>
      </c>
      <c r="B52" s="20" t="s">
        <v>77</v>
      </c>
      <c r="C52" s="21">
        <f>SUM(C53:C56)</f>
        <v>60</v>
      </c>
      <c r="D52" s="21"/>
      <c r="E52" s="241">
        <f>(C52+D52)*1000</f>
        <v>60000</v>
      </c>
      <c r="F52" s="250">
        <f>SUM(F53:F56)</f>
        <v>829391</v>
      </c>
      <c r="G52" s="250">
        <f>SUM(G53:G56)</f>
        <v>0</v>
      </c>
      <c r="H52" s="250">
        <f>SUM(H53:H56)</f>
        <v>0</v>
      </c>
      <c r="I52" s="250">
        <f>SUM(I53:I56)</f>
        <v>120000</v>
      </c>
      <c r="J52" s="426">
        <f t="shared" si="8"/>
        <v>1009391</v>
      </c>
      <c r="K52" s="532">
        <f>SUM(K53:K56)</f>
        <v>1007893</v>
      </c>
      <c r="L52" s="536">
        <f>K52/J52</f>
        <v>0.9985159368371622</v>
      </c>
    </row>
    <row r="53" spans="1:12" ht="12" customHeight="1">
      <c r="A53" s="34"/>
      <c r="B53" s="20" t="s">
        <v>87</v>
      </c>
      <c r="C53" s="21">
        <v>60</v>
      </c>
      <c r="D53" s="21">
        <v>0</v>
      </c>
      <c r="E53" s="62">
        <f>(C53+D53)*1000</f>
        <v>60000</v>
      </c>
      <c r="F53" s="250">
        <f>40708+229295+29091+240216+88819+145642+28620+27000</f>
        <v>829391</v>
      </c>
      <c r="G53" s="250">
        <v>0</v>
      </c>
      <c r="H53" s="250">
        <v>0</v>
      </c>
      <c r="I53" s="426">
        <v>120000</v>
      </c>
      <c r="J53" s="426">
        <f t="shared" si="8"/>
        <v>1009391</v>
      </c>
      <c r="K53" s="532">
        <v>1007893</v>
      </c>
      <c r="L53" s="536">
        <f>K53/J53</f>
        <v>0.9985159368371622</v>
      </c>
    </row>
    <row r="54" spans="1:12" ht="12" customHeight="1">
      <c r="A54" s="34"/>
      <c r="B54" s="20" t="s">
        <v>78</v>
      </c>
      <c r="C54" s="21">
        <v>0</v>
      </c>
      <c r="D54" s="21">
        <v>0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426">
        <f t="shared" si="8"/>
        <v>0</v>
      </c>
      <c r="K54" s="532">
        <v>0</v>
      </c>
      <c r="L54" s="536">
        <v>0</v>
      </c>
    </row>
    <row r="55" spans="1:12" ht="12" customHeight="1">
      <c r="A55" s="34"/>
      <c r="B55" s="20" t="s">
        <v>13</v>
      </c>
      <c r="C55" s="21">
        <v>0</v>
      </c>
      <c r="D55" s="21">
        <v>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426">
        <f t="shared" si="8"/>
        <v>0</v>
      </c>
      <c r="K55" s="532">
        <v>0</v>
      </c>
      <c r="L55" s="536">
        <v>0</v>
      </c>
    </row>
    <row r="56" spans="1:12" ht="12" customHeight="1" thickBot="1">
      <c r="A56" s="40"/>
      <c r="B56" s="16" t="s">
        <v>79</v>
      </c>
      <c r="C56" s="17">
        <v>0</v>
      </c>
      <c r="D56" s="17">
        <v>0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426">
        <f t="shared" si="8"/>
        <v>0</v>
      </c>
      <c r="K56" s="532">
        <v>0</v>
      </c>
      <c r="L56" s="536">
        <v>0</v>
      </c>
    </row>
    <row r="57" spans="1:12" ht="12" customHeight="1" thickBot="1">
      <c r="A57" s="9" t="s">
        <v>31</v>
      </c>
      <c r="B57" s="10" t="s">
        <v>32</v>
      </c>
      <c r="C57" s="11">
        <v>0</v>
      </c>
      <c r="D57" s="11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424">
        <f t="shared" si="8"/>
        <v>0</v>
      </c>
      <c r="K57" s="260">
        <v>0</v>
      </c>
      <c r="L57" s="483">
        <v>0</v>
      </c>
    </row>
    <row r="58" spans="1:12" ht="12" customHeight="1" thickBot="1">
      <c r="A58" s="293" t="s">
        <v>33</v>
      </c>
      <c r="B58" s="294" t="s">
        <v>80</v>
      </c>
      <c r="C58" s="300"/>
      <c r="D58" s="300">
        <v>0</v>
      </c>
      <c r="E58" s="295">
        <f>C58+D58</f>
        <v>0</v>
      </c>
      <c r="F58" s="288">
        <v>0</v>
      </c>
      <c r="G58" s="288">
        <f>G59</f>
        <v>161922</v>
      </c>
      <c r="H58" s="288">
        <v>0</v>
      </c>
      <c r="I58" s="429">
        <v>0</v>
      </c>
      <c r="J58" s="429">
        <f>E58+F58+G58+H58</f>
        <v>161922</v>
      </c>
      <c r="K58" s="473">
        <v>161921</v>
      </c>
      <c r="L58" s="492">
        <f aca="true" t="shared" si="9" ref="L58:L68">K58/J58</f>
        <v>0.9999938241869543</v>
      </c>
    </row>
    <row r="59" spans="1:12" ht="12" customHeight="1" hidden="1" thickBot="1">
      <c r="A59" s="296" t="s">
        <v>387</v>
      </c>
      <c r="B59" s="290" t="s">
        <v>388</v>
      </c>
      <c r="C59" s="297"/>
      <c r="D59" s="297"/>
      <c r="E59" s="298">
        <v>0</v>
      </c>
      <c r="F59" s="291">
        <v>0</v>
      </c>
      <c r="G59" s="291">
        <v>161922</v>
      </c>
      <c r="H59" s="291">
        <v>0</v>
      </c>
      <c r="I59" s="432">
        <v>0</v>
      </c>
      <c r="J59" s="432">
        <f>G59</f>
        <v>161922</v>
      </c>
      <c r="K59" s="475"/>
      <c r="L59" s="493">
        <f t="shared" si="9"/>
        <v>0</v>
      </c>
    </row>
    <row r="60" spans="1:12" ht="12" customHeight="1" thickBot="1">
      <c r="A60" s="9" t="s">
        <v>34</v>
      </c>
      <c r="B60" s="10" t="s">
        <v>35</v>
      </c>
      <c r="C60" s="11"/>
      <c r="D60" s="11">
        <v>0</v>
      </c>
      <c r="E60" s="55">
        <v>0</v>
      </c>
      <c r="F60" s="252">
        <f>348626+2050000+173657+495880</f>
        <v>3068163</v>
      </c>
      <c r="G60" s="252">
        <v>0</v>
      </c>
      <c r="H60" s="252">
        <v>100000</v>
      </c>
      <c r="I60" s="424">
        <v>368413</v>
      </c>
      <c r="J60" s="424">
        <f>E60+F60+G60+H60+I60</f>
        <v>3536576</v>
      </c>
      <c r="K60" s="260">
        <v>3551909</v>
      </c>
      <c r="L60" s="483">
        <f t="shared" si="9"/>
        <v>1.0043355494127653</v>
      </c>
    </row>
    <row r="61" spans="1:12" ht="12" customHeight="1" thickBot="1">
      <c r="A61" s="9"/>
      <c r="B61" s="10" t="s">
        <v>88</v>
      </c>
      <c r="C61" s="11"/>
      <c r="D61" s="11">
        <v>0</v>
      </c>
      <c r="E61" s="55">
        <v>0</v>
      </c>
      <c r="F61" s="252">
        <f>46887+94128+553500+133888</f>
        <v>828403</v>
      </c>
      <c r="G61" s="252">
        <v>0</v>
      </c>
      <c r="H61" s="252">
        <v>-100000</v>
      </c>
      <c r="I61" s="424">
        <v>-368413</v>
      </c>
      <c r="J61" s="424">
        <f>E61+F61+G61+H61+I61</f>
        <v>359990</v>
      </c>
      <c r="K61" s="260">
        <v>254989</v>
      </c>
      <c r="L61" s="483">
        <f t="shared" si="9"/>
        <v>0.7083224534014834</v>
      </c>
    </row>
    <row r="62" spans="1:12" ht="12" customHeight="1" thickBot="1">
      <c r="A62" s="9" t="s">
        <v>36</v>
      </c>
      <c r="B62" s="10" t="s">
        <v>37</v>
      </c>
      <c r="C62" s="11">
        <v>0</v>
      </c>
      <c r="D62" s="11">
        <v>0</v>
      </c>
      <c r="E62" s="55">
        <v>0</v>
      </c>
      <c r="F62" s="252">
        <v>0</v>
      </c>
      <c r="G62" s="252">
        <v>0</v>
      </c>
      <c r="H62" s="252">
        <v>0</v>
      </c>
      <c r="I62" s="424">
        <v>0</v>
      </c>
      <c r="J62" s="424">
        <v>0</v>
      </c>
      <c r="K62" s="260">
        <v>0</v>
      </c>
      <c r="L62" s="483">
        <v>0</v>
      </c>
    </row>
    <row r="63" spans="1:12" ht="12" customHeight="1" thickBot="1">
      <c r="A63" s="9"/>
      <c r="B63" s="10" t="s">
        <v>89</v>
      </c>
      <c r="C63" s="11">
        <v>0</v>
      </c>
      <c r="D63" s="11">
        <v>0</v>
      </c>
      <c r="E63" s="55">
        <v>0</v>
      </c>
      <c r="F63" s="252">
        <v>0</v>
      </c>
      <c r="G63" s="252">
        <v>0</v>
      </c>
      <c r="H63" s="252">
        <v>0</v>
      </c>
      <c r="I63" s="424">
        <v>0</v>
      </c>
      <c r="J63" s="424">
        <v>0</v>
      </c>
      <c r="K63" s="260">
        <v>0</v>
      </c>
      <c r="L63" s="483">
        <v>0</v>
      </c>
    </row>
    <row r="64" spans="1:12" ht="12" customHeight="1" thickBot="1">
      <c r="A64" s="9" t="s">
        <v>38</v>
      </c>
      <c r="B64" s="10" t="s">
        <v>94</v>
      </c>
      <c r="C64" s="11">
        <v>0</v>
      </c>
      <c r="D64" s="11">
        <v>0</v>
      </c>
      <c r="E64" s="55">
        <v>0</v>
      </c>
      <c r="F64" s="252">
        <v>0</v>
      </c>
      <c r="G64" s="252">
        <v>0</v>
      </c>
      <c r="H64" s="252">
        <v>0</v>
      </c>
      <c r="I64" s="424">
        <v>0</v>
      </c>
      <c r="J64" s="424">
        <v>0</v>
      </c>
      <c r="K64" s="260">
        <v>0</v>
      </c>
      <c r="L64" s="483">
        <v>0</v>
      </c>
    </row>
    <row r="65" spans="1:12" ht="12" customHeight="1" thickBot="1">
      <c r="A65" s="9" t="s">
        <v>39</v>
      </c>
      <c r="B65" s="10" t="s">
        <v>82</v>
      </c>
      <c r="C65" s="11">
        <f>C64+C63+C62+C61+C60+C58+C57+C41+C37+C24</f>
        <v>7866</v>
      </c>
      <c r="D65" s="11">
        <f>D64+D63+D62+D61+D60+D58+D57+D41+D37+D24</f>
        <v>0</v>
      </c>
      <c r="E65" s="55">
        <f>E64+E63+E62+E61+E60+E58+E57+E41+E37+E24</f>
        <v>7866000</v>
      </c>
      <c r="F65" s="252">
        <f>F63+F62+F61+F60+F57+F58+F41+F37+F24</f>
        <v>36671233</v>
      </c>
      <c r="G65" s="252">
        <f>G63+G62+G61+G60+G57+G58+G41+G37+G24</f>
        <v>192248</v>
      </c>
      <c r="H65" s="252">
        <f>H63+H62+H61+H60+H57+H58+H41+H37+H24</f>
        <v>120000</v>
      </c>
      <c r="I65" s="252">
        <f>I63+I62+I61+I60+I57+I58+I41+I37+I24</f>
        <v>660000</v>
      </c>
      <c r="J65" s="424">
        <f>E65+F65+G65+H65+I65</f>
        <v>45509481</v>
      </c>
      <c r="K65" s="260">
        <f>K63+K62+K61+K60+K58+K57+K41+K37+K24</f>
        <v>44648572</v>
      </c>
      <c r="L65" s="483">
        <f t="shared" si="9"/>
        <v>0.9810828649089626</v>
      </c>
    </row>
    <row r="66" spans="1:12" ht="12" customHeight="1" thickBot="1">
      <c r="A66" s="9" t="s">
        <v>40</v>
      </c>
      <c r="B66" s="10" t="s">
        <v>41</v>
      </c>
      <c r="C66" s="11">
        <f>SUM(C67:C67)</f>
        <v>0</v>
      </c>
      <c r="D66" s="11">
        <f>SUM(D67:D67)</f>
        <v>0</v>
      </c>
      <c r="E66" s="55">
        <v>0</v>
      </c>
      <c r="F66" s="252">
        <v>0</v>
      </c>
      <c r="G66" s="252">
        <v>0</v>
      </c>
      <c r="H66" s="252">
        <v>0</v>
      </c>
      <c r="I66" s="424">
        <v>0</v>
      </c>
      <c r="J66" s="424">
        <v>0</v>
      </c>
      <c r="K66" s="260">
        <v>0</v>
      </c>
      <c r="L66" s="483">
        <v>0</v>
      </c>
    </row>
    <row r="67" spans="1:12" ht="12" customHeight="1" hidden="1" thickBot="1">
      <c r="A67" s="40"/>
      <c r="B67" s="16" t="s">
        <v>95</v>
      </c>
      <c r="C67" s="17">
        <v>0</v>
      </c>
      <c r="D67" s="17">
        <v>0</v>
      </c>
      <c r="E67" s="243">
        <v>0</v>
      </c>
      <c r="F67" s="252">
        <v>0</v>
      </c>
      <c r="G67" s="252">
        <v>0</v>
      </c>
      <c r="H67" s="252">
        <v>0</v>
      </c>
      <c r="I67" s="424"/>
      <c r="J67" s="424">
        <v>0</v>
      </c>
      <c r="K67" s="260"/>
      <c r="L67" s="483" t="e">
        <f t="shared" si="9"/>
        <v>#DIV/0!</v>
      </c>
    </row>
    <row r="68" spans="1:12" ht="12" customHeight="1" thickBot="1">
      <c r="A68" s="9" t="s">
        <v>42</v>
      </c>
      <c r="B68" s="10" t="s">
        <v>43</v>
      </c>
      <c r="C68" s="11">
        <f>C65+C66</f>
        <v>7866</v>
      </c>
      <c r="D68" s="11">
        <f>D64+D66</f>
        <v>0</v>
      </c>
      <c r="E68" s="55">
        <f>(C68+D68)*1000</f>
        <v>7866000</v>
      </c>
      <c r="F68" s="253">
        <f>F66+F65</f>
        <v>36671233</v>
      </c>
      <c r="G68" s="253">
        <f>G66+G65</f>
        <v>192248</v>
      </c>
      <c r="H68" s="253">
        <f>H66+H65</f>
        <v>120000</v>
      </c>
      <c r="I68" s="253">
        <f>I66+I65</f>
        <v>660000</v>
      </c>
      <c r="J68" s="488">
        <f>E68+F68+G68+H68+I68</f>
        <v>45509481</v>
      </c>
      <c r="K68" s="260">
        <f>K65</f>
        <v>44648572</v>
      </c>
      <c r="L68" s="483">
        <f t="shared" si="9"/>
        <v>0.9810828649089626</v>
      </c>
    </row>
    <row r="70" spans="11:12" ht="15">
      <c r="K70" s="484"/>
      <c r="L70" s="485"/>
    </row>
    <row r="71" spans="11:12" ht="15">
      <c r="K71" s="484"/>
      <c r="L71" s="485"/>
    </row>
    <row r="72" spans="11:12" ht="15">
      <c r="K72" s="484"/>
      <c r="L72" s="485"/>
    </row>
    <row r="73" spans="11:12" ht="15">
      <c r="K73" s="484"/>
      <c r="L73" s="485"/>
    </row>
    <row r="92" spans="3:9" ht="15">
      <c r="C92" s="54"/>
      <c r="H92" s="54"/>
      <c r="I92" s="54"/>
    </row>
    <row r="94" spans="8:9" ht="15">
      <c r="H94" s="54"/>
      <c r="I94" s="54"/>
    </row>
    <row r="102" spans="8:9" ht="15">
      <c r="H102" s="54"/>
      <c r="I102" s="54"/>
    </row>
  </sheetData>
  <sheetProtection/>
  <mergeCells count="6">
    <mergeCell ref="A6:E6"/>
    <mergeCell ref="A9:J9"/>
    <mergeCell ref="A23:J23"/>
    <mergeCell ref="B2:J2"/>
    <mergeCell ref="A4:L4"/>
    <mergeCell ref="A3:L3"/>
  </mergeCells>
  <printOptions horizontalCentered="1"/>
  <pageMargins left="0.5118110236220472" right="0.5118110236220472" top="0.15748031496062992" bottom="0.15748031496062992" header="0.11811023622047245" footer="0.11811023622047245"/>
  <pageSetup horizontalDpi="600" verticalDpi="600" orientation="portrait" paperSize="9" scale="9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M13" sqref="M13"/>
    </sheetView>
  </sheetViews>
  <sheetFormatPr defaultColWidth="9.140625" defaultRowHeight="15"/>
  <cols>
    <col min="2" max="2" width="49.140625" style="0" customWidth="1"/>
    <col min="4" max="5" width="9.140625" style="0" hidden="1" customWidth="1"/>
    <col min="6" max="6" width="0" style="0" hidden="1" customWidth="1"/>
  </cols>
  <sheetData>
    <row r="1" spans="1:10" ht="15">
      <c r="A1" s="265">
        <f>Start!A1+1</f>
        <v>6</v>
      </c>
      <c r="B1" s="265" t="str">
        <f>Összevont!B1</f>
        <v>. melléklet az 5/2017. (V. 26.) önkormányzati rendelethez</v>
      </c>
      <c r="C1" s="265"/>
      <c r="D1" s="265"/>
      <c r="E1" s="265"/>
      <c r="F1" s="265"/>
      <c r="G1" s="265"/>
      <c r="H1" s="265"/>
      <c r="I1" s="265"/>
      <c r="J1" s="265"/>
    </row>
    <row r="2" spans="1:10" ht="15">
      <c r="A2" s="277"/>
      <c r="B2" s="860"/>
      <c r="C2" s="860"/>
      <c r="D2" s="860"/>
      <c r="E2" s="860"/>
      <c r="F2" s="860"/>
      <c r="G2" s="860"/>
      <c r="H2" s="860"/>
      <c r="I2" s="860"/>
      <c r="J2" s="860"/>
    </row>
    <row r="3" spans="1:9" ht="15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</row>
    <row r="4" spans="1:9" ht="15">
      <c r="A4" s="866" t="s">
        <v>400</v>
      </c>
      <c r="B4" s="866"/>
      <c r="C4" s="866"/>
      <c r="D4" s="866"/>
      <c r="E4" s="866"/>
      <c r="F4" s="866"/>
      <c r="G4" s="866"/>
      <c r="H4" s="866"/>
      <c r="I4" s="866"/>
    </row>
    <row r="5" spans="1:9" ht="15">
      <c r="A5" s="725"/>
      <c r="B5" s="725"/>
      <c r="C5" s="725"/>
      <c r="D5" s="725"/>
      <c r="E5" s="725"/>
      <c r="F5" s="725"/>
      <c r="G5" s="725"/>
      <c r="H5" s="725"/>
      <c r="I5" s="725"/>
    </row>
    <row r="6" spans="1:7" ht="15">
      <c r="A6" s="859" t="s">
        <v>100</v>
      </c>
      <c r="B6" s="859"/>
      <c r="C6" s="859"/>
      <c r="D6" s="859"/>
      <c r="E6" s="859"/>
      <c r="F6" s="859"/>
      <c r="G6" s="859"/>
    </row>
    <row r="7" spans="1:8" ht="15.75" customHeight="1" thickBot="1">
      <c r="A7" s="7"/>
      <c r="B7" s="7"/>
      <c r="C7" s="7"/>
      <c r="D7" s="7"/>
      <c r="E7" s="498"/>
      <c r="F7" s="498"/>
      <c r="G7" s="498"/>
      <c r="H7" s="68" t="s">
        <v>363</v>
      </c>
    </row>
    <row r="8" spans="1:9" ht="23.25" thickBot="1">
      <c r="A8" s="30" t="s">
        <v>0</v>
      </c>
      <c r="B8" s="31" t="s">
        <v>1</v>
      </c>
      <c r="C8" s="31" t="s">
        <v>322</v>
      </c>
      <c r="D8" s="31" t="s">
        <v>373</v>
      </c>
      <c r="E8" s="31" t="s">
        <v>366</v>
      </c>
      <c r="F8" s="35" t="s">
        <v>393</v>
      </c>
      <c r="G8" s="35" t="s">
        <v>359</v>
      </c>
      <c r="H8" s="31" t="s">
        <v>398</v>
      </c>
      <c r="I8" s="32" t="s">
        <v>399</v>
      </c>
    </row>
    <row r="9" spans="1:9" ht="12" customHeight="1" thickBot="1">
      <c r="A9" s="868" t="s">
        <v>44</v>
      </c>
      <c r="B9" s="869"/>
      <c r="C9" s="869"/>
      <c r="D9" s="869"/>
      <c r="E9" s="869"/>
      <c r="F9" s="869"/>
      <c r="G9" s="869"/>
      <c r="H9" s="487"/>
      <c r="I9" s="477"/>
    </row>
    <row r="10" spans="1:9" ht="12" customHeight="1" thickBot="1">
      <c r="A10" s="9" t="s">
        <v>6</v>
      </c>
      <c r="B10" s="10" t="s">
        <v>7</v>
      </c>
      <c r="C10" s="11">
        <v>0</v>
      </c>
      <c r="D10" s="11">
        <v>0</v>
      </c>
      <c r="E10" s="11">
        <v>0</v>
      </c>
      <c r="F10" s="55">
        <v>0</v>
      </c>
      <c r="G10" s="55">
        <f>C10+E10</f>
        <v>0</v>
      </c>
      <c r="H10" s="260">
        <v>0</v>
      </c>
      <c r="I10" s="483">
        <v>0</v>
      </c>
    </row>
    <row r="11" spans="1:9" ht="12" customHeight="1" thickBot="1">
      <c r="A11" s="9" t="s">
        <v>8</v>
      </c>
      <c r="B11" s="10" t="s">
        <v>45</v>
      </c>
      <c r="C11" s="11">
        <v>0</v>
      </c>
      <c r="D11" s="11">
        <v>0</v>
      </c>
      <c r="E11" s="11">
        <v>0</v>
      </c>
      <c r="F11" s="55">
        <v>0</v>
      </c>
      <c r="G11" s="55">
        <f aca="true" t="shared" si="0" ref="G11:G20">C11+E11</f>
        <v>0</v>
      </c>
      <c r="H11" s="260">
        <v>0</v>
      </c>
      <c r="I11" s="483">
        <v>0</v>
      </c>
    </row>
    <row r="12" spans="1:9" ht="12" customHeight="1" thickBot="1">
      <c r="A12" s="9" t="s">
        <v>9</v>
      </c>
      <c r="B12" s="10" t="s">
        <v>10</v>
      </c>
      <c r="C12" s="11">
        <v>0</v>
      </c>
      <c r="D12" s="11">
        <v>0</v>
      </c>
      <c r="E12" s="11">
        <v>0</v>
      </c>
      <c r="F12" s="55">
        <v>0</v>
      </c>
      <c r="G12" s="55">
        <v>0</v>
      </c>
      <c r="H12" s="260">
        <v>0</v>
      </c>
      <c r="I12" s="483">
        <v>0</v>
      </c>
    </row>
    <row r="13" spans="1:9" ht="12" customHeight="1" thickBot="1">
      <c r="A13" s="9" t="s">
        <v>11</v>
      </c>
      <c r="B13" s="10" t="s">
        <v>12</v>
      </c>
      <c r="C13" s="11">
        <v>0</v>
      </c>
      <c r="D13" s="11">
        <v>0</v>
      </c>
      <c r="E13" s="11">
        <v>0</v>
      </c>
      <c r="F13" s="55">
        <v>0</v>
      </c>
      <c r="G13" s="55">
        <f>C13+E13+F13</f>
        <v>0</v>
      </c>
      <c r="H13" s="260">
        <v>0</v>
      </c>
      <c r="I13" s="483">
        <v>0</v>
      </c>
    </row>
    <row r="14" spans="1:9" ht="12" customHeight="1" thickBot="1">
      <c r="A14" s="9" t="s">
        <v>14</v>
      </c>
      <c r="B14" s="10" t="s">
        <v>15</v>
      </c>
      <c r="C14" s="11">
        <v>0</v>
      </c>
      <c r="D14" s="11">
        <v>0</v>
      </c>
      <c r="E14" s="11">
        <v>0</v>
      </c>
      <c r="F14" s="55">
        <v>800000</v>
      </c>
      <c r="G14" s="55">
        <f>C14+E14+F14</f>
        <v>800000</v>
      </c>
      <c r="H14" s="260">
        <v>800000</v>
      </c>
      <c r="I14" s="483">
        <f>H14/G14</f>
        <v>1</v>
      </c>
    </row>
    <row r="15" spans="1:9" ht="12" customHeight="1" thickBot="1">
      <c r="A15" s="9" t="s">
        <v>16</v>
      </c>
      <c r="B15" s="10" t="s">
        <v>17</v>
      </c>
      <c r="C15" s="11">
        <v>0</v>
      </c>
      <c r="D15" s="11">
        <v>0</v>
      </c>
      <c r="E15" s="11">
        <v>0</v>
      </c>
      <c r="F15" s="55">
        <v>0</v>
      </c>
      <c r="G15" s="55">
        <f t="shared" si="0"/>
        <v>0</v>
      </c>
      <c r="H15" s="260">
        <v>0</v>
      </c>
      <c r="I15" s="483">
        <v>0</v>
      </c>
    </row>
    <row r="16" spans="1:9" ht="12" customHeight="1" thickBot="1">
      <c r="A16" s="9" t="s">
        <v>18</v>
      </c>
      <c r="B16" s="10" t="s">
        <v>19</v>
      </c>
      <c r="C16" s="11">
        <v>0</v>
      </c>
      <c r="D16" s="11">
        <v>0</v>
      </c>
      <c r="E16" s="11">
        <v>0</v>
      </c>
      <c r="F16" s="55">
        <v>0</v>
      </c>
      <c r="G16" s="55">
        <f t="shared" si="0"/>
        <v>0</v>
      </c>
      <c r="H16" s="260">
        <v>0</v>
      </c>
      <c r="I16" s="483">
        <v>0</v>
      </c>
    </row>
    <row r="17" spans="1:9" ht="12" customHeight="1" thickBot="1">
      <c r="A17" s="9" t="s">
        <v>20</v>
      </c>
      <c r="B17" s="12" t="s">
        <v>21</v>
      </c>
      <c r="C17" s="13">
        <f>SUM(C10:C16)</f>
        <v>0</v>
      </c>
      <c r="D17" s="13">
        <f>SUM(D10:D16)</f>
        <v>0</v>
      </c>
      <c r="E17" s="13">
        <f>SUM(E10:E16)</f>
        <v>0</v>
      </c>
      <c r="F17" s="13">
        <f>SUM(F10:F16)</f>
        <v>800000</v>
      </c>
      <c r="G17" s="56">
        <f>C17+E17+F17</f>
        <v>800000</v>
      </c>
      <c r="H17" s="260">
        <f>SUM(H10:H16)</f>
        <v>800000</v>
      </c>
      <c r="I17" s="483">
        <f>H17/G17</f>
        <v>1</v>
      </c>
    </row>
    <row r="18" spans="1:9" ht="12" customHeight="1" thickBot="1">
      <c r="A18" s="9" t="s">
        <v>23</v>
      </c>
      <c r="B18" s="10" t="s">
        <v>22</v>
      </c>
      <c r="C18" s="11">
        <f>SUM(C19:C20)</f>
        <v>0</v>
      </c>
      <c r="D18" s="11">
        <f>SUM(D19:D20)</f>
        <v>0</v>
      </c>
      <c r="E18" s="11">
        <f>SUM(E19:E20)</f>
        <v>0</v>
      </c>
      <c r="F18" s="11">
        <f>SUM(F19:F20)</f>
        <v>0</v>
      </c>
      <c r="G18" s="55">
        <f t="shared" si="0"/>
        <v>0</v>
      </c>
      <c r="H18" s="260">
        <f>SUM(H19:H20)</f>
        <v>0</v>
      </c>
      <c r="I18" s="483">
        <v>0</v>
      </c>
    </row>
    <row r="19" spans="1:9" ht="12" customHeight="1">
      <c r="A19" s="38"/>
      <c r="B19" s="14" t="s">
        <v>46</v>
      </c>
      <c r="C19" s="15">
        <v>0</v>
      </c>
      <c r="D19" s="15">
        <v>0</v>
      </c>
      <c r="E19" s="15">
        <v>0</v>
      </c>
      <c r="F19" s="241">
        <v>0</v>
      </c>
      <c r="G19" s="241">
        <f>C19+E19</f>
        <v>0</v>
      </c>
      <c r="H19" s="478">
        <v>0</v>
      </c>
      <c r="I19" s="489">
        <v>0</v>
      </c>
    </row>
    <row r="20" spans="1:9" ht="12" customHeight="1" thickBot="1">
      <c r="A20" s="40"/>
      <c r="B20" s="16" t="s">
        <v>47</v>
      </c>
      <c r="C20" s="17">
        <v>0</v>
      </c>
      <c r="D20" s="17">
        <v>0</v>
      </c>
      <c r="E20" s="17">
        <v>0</v>
      </c>
      <c r="F20" s="257">
        <v>0</v>
      </c>
      <c r="G20" s="257">
        <f t="shared" si="0"/>
        <v>0</v>
      </c>
      <c r="H20" s="481">
        <v>0</v>
      </c>
      <c r="I20" s="491">
        <v>0</v>
      </c>
    </row>
    <row r="21" spans="1:9" ht="12" customHeight="1" thickBot="1">
      <c r="A21" s="9" t="s">
        <v>24</v>
      </c>
      <c r="B21" s="10" t="s">
        <v>25</v>
      </c>
      <c r="C21" s="11">
        <f>C16+C18</f>
        <v>0</v>
      </c>
      <c r="D21" s="11">
        <v>0</v>
      </c>
      <c r="E21" s="11">
        <f>E17+E18</f>
        <v>0</v>
      </c>
      <c r="F21" s="11">
        <f>F17+F18</f>
        <v>800000</v>
      </c>
      <c r="G21" s="55">
        <f>C21+E21+F21</f>
        <v>800000</v>
      </c>
      <c r="H21" s="260">
        <f>H18+H17</f>
        <v>800000</v>
      </c>
      <c r="I21" s="483">
        <f>H21/G21</f>
        <v>1</v>
      </c>
    </row>
    <row r="22" spans="1:9" ht="12" customHeight="1" thickBot="1">
      <c r="A22" s="41"/>
      <c r="B22" s="41"/>
      <c r="C22" s="42"/>
      <c r="D22" s="42"/>
      <c r="E22" s="42"/>
      <c r="F22" s="42"/>
      <c r="G22" s="42"/>
      <c r="H22" s="482"/>
      <c r="I22" s="483"/>
    </row>
    <row r="23" spans="1:9" ht="12" customHeight="1" thickBot="1">
      <c r="A23" s="868" t="s">
        <v>48</v>
      </c>
      <c r="B23" s="869"/>
      <c r="C23" s="869"/>
      <c r="D23" s="869"/>
      <c r="E23" s="869"/>
      <c r="F23" s="869"/>
      <c r="G23" s="869"/>
      <c r="H23" s="482"/>
      <c r="I23" s="483"/>
    </row>
    <row r="24" spans="1:9" ht="12" customHeight="1" thickBot="1">
      <c r="A24" s="9" t="s">
        <v>26</v>
      </c>
      <c r="B24" s="10" t="s">
        <v>27</v>
      </c>
      <c r="C24" s="11">
        <f>SUM(C25,C33)</f>
        <v>0</v>
      </c>
      <c r="D24" s="11">
        <v>0</v>
      </c>
      <c r="E24" s="11">
        <v>0</v>
      </c>
      <c r="F24" s="55">
        <v>0</v>
      </c>
      <c r="G24" s="55">
        <f>C24+E24</f>
        <v>0</v>
      </c>
      <c r="H24" s="260">
        <f>H25+H33</f>
        <v>5866</v>
      </c>
      <c r="I24" s="483"/>
    </row>
    <row r="25" spans="1:9" ht="12" customHeight="1">
      <c r="A25" s="38" t="s">
        <v>49</v>
      </c>
      <c r="B25" s="14" t="s">
        <v>50</v>
      </c>
      <c r="C25" s="15">
        <v>0</v>
      </c>
      <c r="D25" s="15">
        <v>0</v>
      </c>
      <c r="E25" s="15">
        <v>0</v>
      </c>
      <c r="F25" s="241">
        <v>0</v>
      </c>
      <c r="G25" s="241">
        <f>C25+E25</f>
        <v>0</v>
      </c>
      <c r="H25" s="539">
        <v>0</v>
      </c>
      <c r="I25" s="540">
        <v>0</v>
      </c>
    </row>
    <row r="26" spans="1:9" ht="12" customHeight="1">
      <c r="A26" s="34"/>
      <c r="B26" s="20" t="s">
        <v>51</v>
      </c>
      <c r="C26" s="21">
        <v>0</v>
      </c>
      <c r="D26" s="21">
        <v>0</v>
      </c>
      <c r="E26" s="21">
        <v>0</v>
      </c>
      <c r="F26" s="241">
        <v>0</v>
      </c>
      <c r="G26" s="241">
        <f>C26+E26</f>
        <v>0</v>
      </c>
      <c r="H26" s="532">
        <v>0</v>
      </c>
      <c r="I26" s="536">
        <v>0</v>
      </c>
    </row>
    <row r="27" spans="1:9" ht="12" customHeight="1">
      <c r="A27" s="34"/>
      <c r="B27" s="20" t="s">
        <v>52</v>
      </c>
      <c r="C27" s="21">
        <v>0</v>
      </c>
      <c r="D27" s="21">
        <v>0</v>
      </c>
      <c r="E27" s="21">
        <v>0</v>
      </c>
      <c r="F27" s="241">
        <v>0</v>
      </c>
      <c r="G27" s="241">
        <f aca="true" t="shared" si="1" ref="G27:G40">C27+E27</f>
        <v>0</v>
      </c>
      <c r="H27" s="532">
        <v>0</v>
      </c>
      <c r="I27" s="536">
        <v>0</v>
      </c>
    </row>
    <row r="28" spans="1:9" ht="12" customHeight="1">
      <c r="A28" s="34"/>
      <c r="B28" s="20" t="s">
        <v>53</v>
      </c>
      <c r="C28" s="21">
        <v>0</v>
      </c>
      <c r="D28" s="21">
        <v>0</v>
      </c>
      <c r="E28" s="21">
        <v>0</v>
      </c>
      <c r="F28" s="241">
        <v>0</v>
      </c>
      <c r="G28" s="241">
        <f t="shared" si="1"/>
        <v>0</v>
      </c>
      <c r="H28" s="532">
        <v>0</v>
      </c>
      <c r="I28" s="536">
        <v>0</v>
      </c>
    </row>
    <row r="29" spans="1:9" ht="12" customHeight="1">
      <c r="A29" s="34"/>
      <c r="B29" s="20" t="s">
        <v>54</v>
      </c>
      <c r="C29" s="21">
        <v>0</v>
      </c>
      <c r="D29" s="21">
        <v>0</v>
      </c>
      <c r="E29" s="21">
        <v>0</v>
      </c>
      <c r="F29" s="241">
        <v>0</v>
      </c>
      <c r="G29" s="241">
        <f t="shared" si="1"/>
        <v>0</v>
      </c>
      <c r="H29" s="532">
        <v>0</v>
      </c>
      <c r="I29" s="536">
        <v>0</v>
      </c>
    </row>
    <row r="30" spans="1:9" ht="12" customHeight="1">
      <c r="A30" s="34"/>
      <c r="B30" s="20" t="s">
        <v>55</v>
      </c>
      <c r="C30" s="21">
        <v>0</v>
      </c>
      <c r="D30" s="21">
        <v>0</v>
      </c>
      <c r="E30" s="21">
        <v>0</v>
      </c>
      <c r="F30" s="241">
        <v>0</v>
      </c>
      <c r="G30" s="241">
        <f t="shared" si="1"/>
        <v>0</v>
      </c>
      <c r="H30" s="532">
        <v>0</v>
      </c>
      <c r="I30" s="536">
        <v>0</v>
      </c>
    </row>
    <row r="31" spans="1:9" ht="12" customHeight="1">
      <c r="A31" s="34"/>
      <c r="B31" s="20" t="s">
        <v>56</v>
      </c>
      <c r="C31" s="21">
        <v>0</v>
      </c>
      <c r="D31" s="21">
        <v>0</v>
      </c>
      <c r="E31" s="21">
        <v>0</v>
      </c>
      <c r="F31" s="241">
        <v>0</v>
      </c>
      <c r="G31" s="241">
        <f t="shared" si="1"/>
        <v>0</v>
      </c>
      <c r="H31" s="532">
        <v>0</v>
      </c>
      <c r="I31" s="536">
        <v>0</v>
      </c>
    </row>
    <row r="32" spans="1:9" ht="12" customHeight="1">
      <c r="A32" s="34"/>
      <c r="B32" s="20" t="s">
        <v>57</v>
      </c>
      <c r="C32" s="21">
        <v>0</v>
      </c>
      <c r="D32" s="21">
        <v>0</v>
      </c>
      <c r="E32" s="21">
        <v>0</v>
      </c>
      <c r="F32" s="241">
        <v>0</v>
      </c>
      <c r="G32" s="241">
        <f t="shared" si="1"/>
        <v>0</v>
      </c>
      <c r="H32" s="532">
        <v>0</v>
      </c>
      <c r="I32" s="536">
        <v>0</v>
      </c>
    </row>
    <row r="33" spans="1:9" ht="12" customHeight="1">
      <c r="A33" s="34" t="s">
        <v>58</v>
      </c>
      <c r="B33" s="20" t="s">
        <v>59</v>
      </c>
      <c r="C33" s="21">
        <v>0</v>
      </c>
      <c r="D33" s="21">
        <v>0</v>
      </c>
      <c r="E33" s="21">
        <v>0</v>
      </c>
      <c r="F33" s="241">
        <v>0</v>
      </c>
      <c r="G33" s="241">
        <f t="shared" si="1"/>
        <v>0</v>
      </c>
      <c r="H33" s="532">
        <f>H34+H35+H36</f>
        <v>5866</v>
      </c>
      <c r="I33" s="536"/>
    </row>
    <row r="34" spans="1:9" ht="12" customHeight="1">
      <c r="A34" s="34"/>
      <c r="B34" s="20" t="s">
        <v>60</v>
      </c>
      <c r="C34" s="21">
        <v>0</v>
      </c>
      <c r="D34" s="21">
        <v>0</v>
      </c>
      <c r="E34" s="21">
        <v>0</v>
      </c>
      <c r="F34" s="241">
        <v>0</v>
      </c>
      <c r="G34" s="241">
        <f t="shared" si="1"/>
        <v>0</v>
      </c>
      <c r="H34" s="532">
        <v>0</v>
      </c>
      <c r="I34" s="536">
        <v>0</v>
      </c>
    </row>
    <row r="35" spans="1:9" ht="12" customHeight="1">
      <c r="A35" s="34"/>
      <c r="B35" s="20" t="s">
        <v>85</v>
      </c>
      <c r="C35" s="21">
        <v>0</v>
      </c>
      <c r="D35" s="21">
        <v>0</v>
      </c>
      <c r="E35" s="21">
        <v>0</v>
      </c>
      <c r="F35" s="241">
        <v>0</v>
      </c>
      <c r="G35" s="241">
        <f t="shared" si="1"/>
        <v>0</v>
      </c>
      <c r="H35" s="532">
        <v>0</v>
      </c>
      <c r="I35" s="536">
        <v>0</v>
      </c>
    </row>
    <row r="36" spans="1:9" ht="12" customHeight="1" thickBot="1">
      <c r="A36" s="40"/>
      <c r="B36" s="16" t="s">
        <v>61</v>
      </c>
      <c r="C36" s="21">
        <v>0</v>
      </c>
      <c r="D36" s="21">
        <v>0</v>
      </c>
      <c r="E36" s="21">
        <v>0</v>
      </c>
      <c r="F36" s="241">
        <v>0</v>
      </c>
      <c r="G36" s="241">
        <f t="shared" si="1"/>
        <v>0</v>
      </c>
      <c r="H36" s="541">
        <v>5866</v>
      </c>
      <c r="I36" s="535"/>
    </row>
    <row r="37" spans="1:9" ht="12" customHeight="1" thickBot="1">
      <c r="A37" s="9" t="s">
        <v>28</v>
      </c>
      <c r="B37" s="22" t="s">
        <v>84</v>
      </c>
      <c r="C37" s="11">
        <f>SUM(C38:C40)</f>
        <v>0</v>
      </c>
      <c r="D37" s="11">
        <v>0</v>
      </c>
      <c r="E37" s="11">
        <f>SUM(E38:E40)</f>
        <v>0</v>
      </c>
      <c r="F37" s="55">
        <v>0</v>
      </c>
      <c r="G37" s="55">
        <f>C37+E37</f>
        <v>0</v>
      </c>
      <c r="H37" s="260">
        <f>SUM(H38:H40)</f>
        <v>3724</v>
      </c>
      <c r="I37" s="483"/>
    </row>
    <row r="38" spans="1:9" ht="12" customHeight="1">
      <c r="A38" s="34"/>
      <c r="B38" s="20" t="s">
        <v>62</v>
      </c>
      <c r="C38" s="15">
        <v>0</v>
      </c>
      <c r="D38" s="15">
        <v>0</v>
      </c>
      <c r="E38" s="15">
        <v>0</v>
      </c>
      <c r="F38" s="15">
        <v>0</v>
      </c>
      <c r="G38" s="241">
        <f t="shared" si="1"/>
        <v>0</v>
      </c>
      <c r="H38" s="539">
        <v>3724</v>
      </c>
      <c r="I38" s="540">
        <v>0</v>
      </c>
    </row>
    <row r="39" spans="1:9" ht="12" customHeight="1">
      <c r="A39" s="34"/>
      <c r="B39" s="20" t="s">
        <v>63</v>
      </c>
      <c r="C39" s="21">
        <v>0</v>
      </c>
      <c r="D39" s="21">
        <v>0</v>
      </c>
      <c r="E39" s="21">
        <v>0</v>
      </c>
      <c r="F39" s="21">
        <v>0</v>
      </c>
      <c r="G39" s="241">
        <f t="shared" si="1"/>
        <v>0</v>
      </c>
      <c r="H39" s="532">
        <v>0</v>
      </c>
      <c r="I39" s="536">
        <v>0</v>
      </c>
    </row>
    <row r="40" spans="1:9" ht="12" customHeight="1" thickBot="1">
      <c r="A40" s="40"/>
      <c r="B40" s="16" t="s">
        <v>64</v>
      </c>
      <c r="C40" s="17">
        <v>0</v>
      </c>
      <c r="D40" s="17">
        <v>0</v>
      </c>
      <c r="E40" s="17">
        <v>0</v>
      </c>
      <c r="F40" s="17">
        <v>0</v>
      </c>
      <c r="G40" s="242">
        <f t="shared" si="1"/>
        <v>0</v>
      </c>
      <c r="H40" s="541">
        <v>0</v>
      </c>
      <c r="I40" s="535">
        <v>0</v>
      </c>
    </row>
    <row r="41" spans="1:9" ht="12" customHeight="1" thickBot="1">
      <c r="A41" s="9" t="s">
        <v>29</v>
      </c>
      <c r="B41" s="10" t="s">
        <v>30</v>
      </c>
      <c r="C41" s="11">
        <f>C42+C43+C44+C50+C51</f>
        <v>694000</v>
      </c>
      <c r="D41" s="11">
        <f>D42+D43+D44+D50+D51</f>
        <v>0</v>
      </c>
      <c r="E41" s="11">
        <f>E42+E43+E44+E50+E51</f>
        <v>90000</v>
      </c>
      <c r="F41" s="11">
        <f>F42+F43+F44+F50+F51</f>
        <v>453000</v>
      </c>
      <c r="G41" s="55">
        <f>C41+E41+F41</f>
        <v>1237000</v>
      </c>
      <c r="H41" s="260">
        <f>H42+H43+H44+H51+H50</f>
        <v>1150070</v>
      </c>
      <c r="I41" s="483">
        <f>H41/G41</f>
        <v>0.9297251414713016</v>
      </c>
    </row>
    <row r="42" spans="1:9" ht="12" customHeight="1">
      <c r="A42" s="38" t="s">
        <v>65</v>
      </c>
      <c r="B42" s="14" t="s">
        <v>67</v>
      </c>
      <c r="C42" s="15">
        <v>386000</v>
      </c>
      <c r="D42" s="15">
        <v>0</v>
      </c>
      <c r="E42" s="15">
        <v>0</v>
      </c>
      <c r="F42" s="241">
        <v>280000</v>
      </c>
      <c r="G42" s="241">
        <f>C42+E42+F42</f>
        <v>666000</v>
      </c>
      <c r="H42" s="539">
        <v>659133</v>
      </c>
      <c r="I42" s="540">
        <f>H42/G42</f>
        <v>0.9896891891891892</v>
      </c>
    </row>
    <row r="43" spans="1:9" ht="12" customHeight="1">
      <c r="A43" s="34" t="s">
        <v>66</v>
      </c>
      <c r="B43" s="20" t="s">
        <v>68</v>
      </c>
      <c r="C43" s="21">
        <v>0</v>
      </c>
      <c r="D43" s="21">
        <v>0</v>
      </c>
      <c r="E43" s="21">
        <v>0</v>
      </c>
      <c r="F43" s="241">
        <v>0</v>
      </c>
      <c r="G43" s="241">
        <f>C43+E43+F43</f>
        <v>0</v>
      </c>
      <c r="H43" s="532">
        <v>0</v>
      </c>
      <c r="I43" s="536">
        <v>0</v>
      </c>
    </row>
    <row r="44" spans="1:9" ht="12" customHeight="1">
      <c r="A44" s="34" t="s">
        <v>69</v>
      </c>
      <c r="B44" s="20" t="s">
        <v>70</v>
      </c>
      <c r="C44" s="21">
        <f>SUM(C45:C49)</f>
        <v>161000</v>
      </c>
      <c r="D44" s="21">
        <f>SUM(D45:D49)</f>
        <v>0</v>
      </c>
      <c r="E44" s="21">
        <f>SUM(E45:E49)</f>
        <v>90000</v>
      </c>
      <c r="F44" s="21">
        <f>SUM(F45:F49)</f>
        <v>128000</v>
      </c>
      <c r="G44" s="241">
        <f aca="true" t="shared" si="2" ref="G44:G55">C44+E44+F44</f>
        <v>379000</v>
      </c>
      <c r="H44" s="532">
        <f>SUM(H45:H49)</f>
        <v>299972</v>
      </c>
      <c r="I44" s="536">
        <f>H44/G44</f>
        <v>0.7914828496042217</v>
      </c>
    </row>
    <row r="45" spans="1:9" ht="12" customHeight="1">
      <c r="A45" s="34"/>
      <c r="B45" s="20" t="s">
        <v>91</v>
      </c>
      <c r="C45" s="21">
        <v>146000</v>
      </c>
      <c r="D45" s="21">
        <v>0</v>
      </c>
      <c r="E45" s="21">
        <v>0</v>
      </c>
      <c r="F45" s="241">
        <v>0</v>
      </c>
      <c r="G45" s="241">
        <f t="shared" si="2"/>
        <v>146000</v>
      </c>
      <c r="H45" s="532">
        <v>75244</v>
      </c>
      <c r="I45" s="536">
        <f>H45/G45</f>
        <v>0.5153698630136986</v>
      </c>
    </row>
    <row r="46" spans="1:9" ht="12" customHeight="1">
      <c r="A46" s="34"/>
      <c r="B46" s="23" t="s">
        <v>97</v>
      </c>
      <c r="C46" s="21">
        <v>0</v>
      </c>
      <c r="D46" s="21">
        <v>0</v>
      </c>
      <c r="E46" s="21">
        <v>0</v>
      </c>
      <c r="F46" s="21">
        <v>0</v>
      </c>
      <c r="G46" s="241">
        <f t="shared" si="2"/>
        <v>0</v>
      </c>
      <c r="H46" s="532">
        <v>0</v>
      </c>
      <c r="I46" s="536">
        <v>0</v>
      </c>
    </row>
    <row r="47" spans="1:9" ht="12" customHeight="1">
      <c r="A47" s="34"/>
      <c r="B47" s="20" t="s">
        <v>71</v>
      </c>
      <c r="C47" s="21">
        <v>0</v>
      </c>
      <c r="D47" s="21">
        <v>0</v>
      </c>
      <c r="E47" s="21">
        <v>0</v>
      </c>
      <c r="F47" s="21">
        <v>0</v>
      </c>
      <c r="G47" s="241">
        <f t="shared" si="2"/>
        <v>0</v>
      </c>
      <c r="H47" s="532">
        <v>0</v>
      </c>
      <c r="I47" s="536">
        <v>0</v>
      </c>
    </row>
    <row r="48" spans="1:9" ht="12" customHeight="1">
      <c r="A48" s="34"/>
      <c r="B48" s="20" t="s">
        <v>72</v>
      </c>
      <c r="C48" s="21">
        <v>15000</v>
      </c>
      <c r="D48" s="21">
        <v>0</v>
      </c>
      <c r="E48" s="21">
        <v>50000</v>
      </c>
      <c r="F48" s="241">
        <v>68000</v>
      </c>
      <c r="G48" s="241">
        <f t="shared" si="2"/>
        <v>133000</v>
      </c>
      <c r="H48" s="532">
        <v>131945</v>
      </c>
      <c r="I48" s="536">
        <f>H48/G48</f>
        <v>0.9920676691729323</v>
      </c>
    </row>
    <row r="49" spans="1:9" ht="12" customHeight="1">
      <c r="A49" s="34"/>
      <c r="B49" s="20" t="s">
        <v>73</v>
      </c>
      <c r="C49" s="21">
        <v>0</v>
      </c>
      <c r="D49" s="21">
        <v>0</v>
      </c>
      <c r="E49" s="21">
        <v>40000</v>
      </c>
      <c r="F49" s="241">
        <v>60000</v>
      </c>
      <c r="G49" s="241">
        <f t="shared" si="2"/>
        <v>100000</v>
      </c>
      <c r="H49" s="532">
        <v>92783</v>
      </c>
      <c r="I49" s="536">
        <f>H49/G49</f>
        <v>0.92783</v>
      </c>
    </row>
    <row r="50" spans="1:9" ht="12" customHeight="1">
      <c r="A50" s="34" t="s">
        <v>74</v>
      </c>
      <c r="B50" s="20" t="s">
        <v>75</v>
      </c>
      <c r="C50" s="21">
        <v>0</v>
      </c>
      <c r="D50" s="21">
        <v>0</v>
      </c>
      <c r="E50" s="21">
        <v>0</v>
      </c>
      <c r="F50" s="241">
        <v>0</v>
      </c>
      <c r="G50" s="241">
        <f t="shared" si="2"/>
        <v>0</v>
      </c>
      <c r="H50" s="532">
        <v>0</v>
      </c>
      <c r="I50" s="536">
        <v>0</v>
      </c>
    </row>
    <row r="51" spans="1:9" ht="12" customHeight="1">
      <c r="A51" s="34" t="s">
        <v>76</v>
      </c>
      <c r="B51" s="20" t="s">
        <v>77</v>
      </c>
      <c r="C51" s="21">
        <f>SUM(C52:C55)</f>
        <v>147000</v>
      </c>
      <c r="D51" s="21">
        <f>SUM(D52:D55)</f>
        <v>0</v>
      </c>
      <c r="E51" s="21">
        <f>SUM(E52:E55)</f>
        <v>0</v>
      </c>
      <c r="F51" s="21">
        <f>SUM(F52:F55)</f>
        <v>45000</v>
      </c>
      <c r="G51" s="241">
        <f t="shared" si="2"/>
        <v>192000</v>
      </c>
      <c r="H51" s="532">
        <f>H52+H53+H54+H55</f>
        <v>190965</v>
      </c>
      <c r="I51" s="536">
        <f>H51/G51</f>
        <v>0.994609375</v>
      </c>
    </row>
    <row r="52" spans="1:9" ht="12" customHeight="1">
      <c r="A52" s="34"/>
      <c r="B52" s="20" t="s">
        <v>87</v>
      </c>
      <c r="C52" s="21">
        <v>147000</v>
      </c>
      <c r="D52" s="21">
        <v>0</v>
      </c>
      <c r="E52" s="21"/>
      <c r="F52" s="62">
        <v>45000</v>
      </c>
      <c r="G52" s="241">
        <f t="shared" si="2"/>
        <v>192000</v>
      </c>
      <c r="H52" s="532">
        <v>190937</v>
      </c>
      <c r="I52" s="536">
        <f>H52/G52</f>
        <v>0.9944635416666666</v>
      </c>
    </row>
    <row r="53" spans="1:9" ht="12" customHeight="1">
      <c r="A53" s="34"/>
      <c r="B53" s="20" t="s">
        <v>78</v>
      </c>
      <c r="C53" s="21">
        <v>0</v>
      </c>
      <c r="D53" s="21">
        <v>0</v>
      </c>
      <c r="E53" s="21">
        <v>0</v>
      </c>
      <c r="F53" s="21">
        <v>0</v>
      </c>
      <c r="G53" s="241">
        <f t="shared" si="2"/>
        <v>0</v>
      </c>
      <c r="H53" s="532">
        <v>0</v>
      </c>
      <c r="I53" s="536">
        <v>0</v>
      </c>
    </row>
    <row r="54" spans="1:9" ht="12" customHeight="1">
      <c r="A54" s="34"/>
      <c r="B54" s="20" t="s">
        <v>13</v>
      </c>
      <c r="C54" s="21">
        <v>0</v>
      </c>
      <c r="D54" s="21">
        <v>0</v>
      </c>
      <c r="E54" s="21">
        <v>0</v>
      </c>
      <c r="F54" s="21">
        <v>0</v>
      </c>
      <c r="G54" s="241">
        <f t="shared" si="2"/>
        <v>0</v>
      </c>
      <c r="H54" s="532">
        <v>0</v>
      </c>
      <c r="I54" s="536">
        <v>0</v>
      </c>
    </row>
    <row r="55" spans="1:9" ht="12" customHeight="1" thickBot="1">
      <c r="A55" s="40"/>
      <c r="B55" s="16" t="s">
        <v>79</v>
      </c>
      <c r="C55" s="17">
        <v>0</v>
      </c>
      <c r="D55" s="17">
        <v>0</v>
      </c>
      <c r="E55" s="17">
        <v>0</v>
      </c>
      <c r="F55" s="17">
        <v>0</v>
      </c>
      <c r="G55" s="241">
        <f t="shared" si="2"/>
        <v>0</v>
      </c>
      <c r="H55" s="541">
        <v>28</v>
      </c>
      <c r="I55" s="536"/>
    </row>
    <row r="56" spans="1:9" ht="12" customHeight="1" thickBot="1">
      <c r="A56" s="9" t="s">
        <v>31</v>
      </c>
      <c r="B56" s="10" t="s">
        <v>32</v>
      </c>
      <c r="C56" s="11">
        <v>0</v>
      </c>
      <c r="D56" s="11">
        <v>0</v>
      </c>
      <c r="E56" s="11">
        <v>0</v>
      </c>
      <c r="F56" s="11">
        <v>0</v>
      </c>
      <c r="G56" s="55">
        <f>C56+E56</f>
        <v>0</v>
      </c>
      <c r="H56" s="260">
        <v>0</v>
      </c>
      <c r="I56" s="490">
        <v>0</v>
      </c>
    </row>
    <row r="57" spans="1:9" ht="12" customHeight="1" thickBot="1">
      <c r="A57" s="9" t="s">
        <v>33</v>
      </c>
      <c r="B57" s="10" t="s">
        <v>80</v>
      </c>
      <c r="C57" s="11">
        <v>0</v>
      </c>
      <c r="D57" s="11">
        <v>0</v>
      </c>
      <c r="E57" s="11">
        <v>0</v>
      </c>
      <c r="F57" s="11">
        <v>0</v>
      </c>
      <c r="G57" s="55">
        <f>C57+E57</f>
        <v>0</v>
      </c>
      <c r="H57" s="260">
        <v>0</v>
      </c>
      <c r="I57" s="483">
        <v>0</v>
      </c>
    </row>
    <row r="58" spans="1:9" ht="12" customHeight="1" thickBot="1">
      <c r="A58" s="9" t="s">
        <v>34</v>
      </c>
      <c r="B58" s="10" t="s">
        <v>35</v>
      </c>
      <c r="C58" s="11">
        <v>0</v>
      </c>
      <c r="D58" s="11">
        <v>0</v>
      </c>
      <c r="E58" s="11">
        <v>0</v>
      </c>
      <c r="F58" s="11">
        <v>0</v>
      </c>
      <c r="G58" s="55">
        <f>C58+E58</f>
        <v>0</v>
      </c>
      <c r="H58" s="260">
        <v>0</v>
      </c>
      <c r="I58" s="492">
        <v>0</v>
      </c>
    </row>
    <row r="59" spans="1:9" ht="12" customHeight="1" thickBot="1">
      <c r="A59" s="9"/>
      <c r="B59" s="10" t="s">
        <v>88</v>
      </c>
      <c r="C59" s="11">
        <v>0</v>
      </c>
      <c r="D59" s="11">
        <v>0</v>
      </c>
      <c r="E59" s="11">
        <v>0</v>
      </c>
      <c r="F59" s="11">
        <v>0</v>
      </c>
      <c r="G59" s="55">
        <v>0</v>
      </c>
      <c r="H59" s="260">
        <v>0</v>
      </c>
      <c r="I59" s="493">
        <v>0</v>
      </c>
    </row>
    <row r="60" spans="1:9" ht="12" customHeight="1" thickBot="1">
      <c r="A60" s="9" t="s">
        <v>36</v>
      </c>
      <c r="B60" s="10" t="s">
        <v>37</v>
      </c>
      <c r="C60" s="11">
        <v>157000</v>
      </c>
      <c r="D60" s="11">
        <v>0</v>
      </c>
      <c r="E60" s="11">
        <v>0</v>
      </c>
      <c r="F60" s="55">
        <v>0</v>
      </c>
      <c r="G60" s="55">
        <f>C60+E60</f>
        <v>157000</v>
      </c>
      <c r="H60" s="260">
        <v>117180</v>
      </c>
      <c r="I60" s="483">
        <f aca="true" t="shared" si="3" ref="I60:I66">H60/G60</f>
        <v>0.7463694267515923</v>
      </c>
    </row>
    <row r="61" spans="1:9" ht="12" customHeight="1" thickBot="1">
      <c r="A61" s="9"/>
      <c r="B61" s="10" t="s">
        <v>89</v>
      </c>
      <c r="C61" s="11">
        <v>43000</v>
      </c>
      <c r="D61" s="11">
        <v>0</v>
      </c>
      <c r="E61" s="11">
        <v>0</v>
      </c>
      <c r="F61" s="55">
        <v>0</v>
      </c>
      <c r="G61" s="55">
        <f>C61+E61</f>
        <v>43000</v>
      </c>
      <c r="H61" s="260">
        <v>31639</v>
      </c>
      <c r="I61" s="483">
        <f t="shared" si="3"/>
        <v>0.7357906976744186</v>
      </c>
    </row>
    <row r="62" spans="1:9" ht="12" customHeight="1" thickBot="1">
      <c r="A62" s="9" t="s">
        <v>38</v>
      </c>
      <c r="B62" s="10" t="s">
        <v>81</v>
      </c>
      <c r="C62" s="11">
        <v>0</v>
      </c>
      <c r="D62" s="11">
        <v>0</v>
      </c>
      <c r="E62" s="11">
        <v>0</v>
      </c>
      <c r="F62" s="55">
        <v>0</v>
      </c>
      <c r="G62" s="55">
        <f>C62+E62</f>
        <v>0</v>
      </c>
      <c r="H62" s="260">
        <v>0</v>
      </c>
      <c r="I62" s="483">
        <v>0</v>
      </c>
    </row>
    <row r="63" spans="1:9" ht="12" customHeight="1" thickBot="1">
      <c r="A63" s="9" t="s">
        <v>39</v>
      </c>
      <c r="B63" s="10" t="s">
        <v>82</v>
      </c>
      <c r="C63" s="11">
        <f>SUM(C24,C37,C41,,,C56,C57,C58,C59,C60,C61,C62)</f>
        <v>894000</v>
      </c>
      <c r="D63" s="11">
        <f>SUM(D24,D37,D41,,,D56,D57,D58,D59,D60,D61,D62)</f>
        <v>0</v>
      </c>
      <c r="E63" s="11">
        <f>SUM(E24,E37,E41,,,E56,E57,E58,E59,E60,E61,E62)</f>
        <v>90000</v>
      </c>
      <c r="F63" s="11">
        <f>SUM(F24,F37,F41,,,F56,F57,F58,F59,F60,F61,F62)</f>
        <v>453000</v>
      </c>
      <c r="G63" s="55">
        <f>C63+E63+F63</f>
        <v>1437000</v>
      </c>
      <c r="H63" s="260">
        <f>H61+H60+H59+H58+H57+H56+H41+H37+H24</f>
        <v>1308479</v>
      </c>
      <c r="I63" s="483">
        <f t="shared" si="3"/>
        <v>0.9105629784272791</v>
      </c>
    </row>
    <row r="64" spans="1:9" ht="12" customHeight="1" thickBot="1">
      <c r="A64" s="9" t="s">
        <v>40</v>
      </c>
      <c r="B64" s="10" t="s">
        <v>41</v>
      </c>
      <c r="C64" s="11">
        <f>SUM(C65:C66)</f>
        <v>0</v>
      </c>
      <c r="D64" s="11">
        <v>0</v>
      </c>
      <c r="E64" s="11">
        <f>SUM(E65:E66)</f>
        <v>0</v>
      </c>
      <c r="F64" s="55">
        <v>0</v>
      </c>
      <c r="G64" s="55">
        <f>C64+E64</f>
        <v>0</v>
      </c>
      <c r="H64" s="260">
        <v>0</v>
      </c>
      <c r="I64" s="483">
        <v>0</v>
      </c>
    </row>
    <row r="65" spans="1:9" ht="12" customHeight="1" hidden="1" thickBot="1">
      <c r="A65" s="38"/>
      <c r="B65" s="14" t="s">
        <v>83</v>
      </c>
      <c r="C65" s="15">
        <v>0</v>
      </c>
      <c r="D65" s="15">
        <v>0</v>
      </c>
      <c r="E65" s="15">
        <v>0</v>
      </c>
      <c r="F65" s="241">
        <v>0</v>
      </c>
      <c r="G65" s="389">
        <f>C65+E65</f>
        <v>0</v>
      </c>
      <c r="H65" s="260">
        <v>0</v>
      </c>
      <c r="I65" s="483" t="e">
        <f t="shared" si="3"/>
        <v>#DIV/0!</v>
      </c>
    </row>
    <row r="66" spans="1:9" ht="12" customHeight="1" hidden="1" thickBot="1">
      <c r="A66" s="40"/>
      <c r="B66" s="16" t="s">
        <v>95</v>
      </c>
      <c r="C66" s="17">
        <v>0</v>
      </c>
      <c r="D66" s="17">
        <v>0</v>
      </c>
      <c r="E66" s="17">
        <v>0</v>
      </c>
      <c r="F66" s="242">
        <v>0</v>
      </c>
      <c r="G66" s="243">
        <f>C66+E66</f>
        <v>0</v>
      </c>
      <c r="H66" s="260">
        <v>0</v>
      </c>
      <c r="I66" s="483" t="e">
        <f t="shared" si="3"/>
        <v>#DIV/0!</v>
      </c>
    </row>
    <row r="67" spans="1:9" ht="12" customHeight="1" thickBot="1">
      <c r="A67" s="9" t="s">
        <v>42</v>
      </c>
      <c r="B67" s="10" t="s">
        <v>43</v>
      </c>
      <c r="C67" s="11">
        <f>C63+C64</f>
        <v>894000</v>
      </c>
      <c r="D67" s="11">
        <f>D63+D64</f>
        <v>0</v>
      </c>
      <c r="E67" s="11">
        <f>E63+E64</f>
        <v>90000</v>
      </c>
      <c r="F67" s="11">
        <f>F63+F64</f>
        <v>453000</v>
      </c>
      <c r="G67" s="55">
        <f>C67+E67+F67</f>
        <v>1437000</v>
      </c>
      <c r="H67" s="260">
        <f>H63</f>
        <v>1308479</v>
      </c>
      <c r="I67" s="483">
        <f>H67/G67</f>
        <v>0.9105629784272791</v>
      </c>
    </row>
    <row r="91" spans="3:10" ht="15">
      <c r="C91" s="54"/>
      <c r="D91" s="54"/>
      <c r="J91" s="54"/>
    </row>
    <row r="93" ht="15">
      <c r="J93" s="54"/>
    </row>
    <row r="101" ht="15">
      <c r="J101" s="54"/>
    </row>
  </sheetData>
  <sheetProtection/>
  <mergeCells count="6">
    <mergeCell ref="B2:J2"/>
    <mergeCell ref="A6:G6"/>
    <mergeCell ref="A9:G9"/>
    <mergeCell ref="A23:G23"/>
    <mergeCell ref="A3:I3"/>
    <mergeCell ref="A4:I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9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N22" sqref="N22"/>
    </sheetView>
  </sheetViews>
  <sheetFormatPr defaultColWidth="9.140625" defaultRowHeight="15"/>
  <cols>
    <col min="2" max="2" width="43.8515625" style="0" customWidth="1"/>
    <col min="4" max="6" width="9.140625" style="0" hidden="1" customWidth="1"/>
    <col min="7" max="7" width="0" style="0" hidden="1" customWidth="1"/>
  </cols>
  <sheetData>
    <row r="1" spans="1:8" ht="15">
      <c r="A1" s="265">
        <f>Községgazd!A1+1</f>
        <v>7</v>
      </c>
      <c r="B1" s="860" t="str">
        <f>Községgazd!B1</f>
        <v>. melléklet az 5/2017. (V. 26.) önkormányzati rendelethez</v>
      </c>
      <c r="C1" s="860"/>
      <c r="D1" s="860"/>
      <c r="E1" s="860"/>
      <c r="F1" s="860"/>
      <c r="G1" s="860"/>
      <c r="H1" s="860"/>
    </row>
    <row r="2" spans="1:8" ht="15">
      <c r="A2" s="265"/>
      <c r="B2" s="303"/>
      <c r="C2" s="303"/>
      <c r="D2" s="303"/>
      <c r="E2" s="303"/>
      <c r="F2" s="303"/>
      <c r="G2" s="414"/>
      <c r="H2" s="303"/>
    </row>
    <row r="3" spans="1:10" ht="15" customHeight="1">
      <c r="A3" s="866" t="s">
        <v>197</v>
      </c>
      <c r="B3" s="866"/>
      <c r="C3" s="866"/>
      <c r="D3" s="866"/>
      <c r="E3" s="866"/>
      <c r="F3" s="866"/>
      <c r="G3" s="866"/>
      <c r="H3" s="866"/>
      <c r="I3" s="866"/>
      <c r="J3" s="866"/>
    </row>
    <row r="4" spans="1:10" ht="15">
      <c r="A4" s="866" t="s">
        <v>400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0" ht="15">
      <c r="A5" s="725"/>
      <c r="B5" s="725"/>
      <c r="C5" s="725"/>
      <c r="D5" s="725"/>
      <c r="E5" s="725"/>
      <c r="F5" s="725"/>
      <c r="G5" s="725"/>
      <c r="H5" s="725"/>
      <c r="I5" s="725"/>
      <c r="J5" s="725"/>
    </row>
    <row r="6" spans="1:8" ht="15">
      <c r="A6" s="859" t="s">
        <v>101</v>
      </c>
      <c r="B6" s="859"/>
      <c r="C6" s="859"/>
      <c r="D6" s="859"/>
      <c r="E6" s="859"/>
      <c r="F6" s="859"/>
      <c r="G6" s="859"/>
      <c r="H6" s="859"/>
    </row>
    <row r="7" spans="1:9" ht="15.75" thickBot="1">
      <c r="A7" s="7"/>
      <c r="B7" s="7"/>
      <c r="C7" s="7"/>
      <c r="D7" s="7"/>
      <c r="E7" s="498"/>
      <c r="F7" s="498"/>
      <c r="G7" s="498"/>
      <c r="H7" s="498"/>
      <c r="I7" s="68" t="s">
        <v>363</v>
      </c>
    </row>
    <row r="8" spans="1:10" ht="158.25" thickBot="1">
      <c r="A8" s="30" t="s">
        <v>0</v>
      </c>
      <c r="B8" s="31" t="s">
        <v>1</v>
      </c>
      <c r="C8" s="31" t="s">
        <v>322</v>
      </c>
      <c r="D8" s="31" t="s">
        <v>373</v>
      </c>
      <c r="E8" s="35" t="s">
        <v>374</v>
      </c>
      <c r="F8" s="35" t="s">
        <v>389</v>
      </c>
      <c r="G8" s="35" t="s">
        <v>393</v>
      </c>
      <c r="H8" s="35" t="s">
        <v>4</v>
      </c>
      <c r="I8" s="31" t="s">
        <v>398</v>
      </c>
      <c r="J8" s="32" t="s">
        <v>399</v>
      </c>
    </row>
    <row r="9" spans="1:10" ht="12" customHeight="1" thickBot="1">
      <c r="A9" s="282" t="s">
        <v>44</v>
      </c>
      <c r="B9" s="41"/>
      <c r="C9" s="41"/>
      <c r="D9" s="41"/>
      <c r="E9" s="41"/>
      <c r="F9" s="41"/>
      <c r="G9" s="41"/>
      <c r="H9" s="41"/>
      <c r="I9" s="41"/>
      <c r="J9" s="283"/>
    </row>
    <row r="10" spans="1:10" ht="12" customHeight="1" thickBot="1">
      <c r="A10" s="9" t="s">
        <v>6</v>
      </c>
      <c r="B10" s="10" t="s">
        <v>7</v>
      </c>
      <c r="C10" s="11">
        <v>0</v>
      </c>
      <c r="D10" s="11">
        <v>0</v>
      </c>
      <c r="E10" s="55">
        <v>0</v>
      </c>
      <c r="F10" s="55">
        <v>0</v>
      </c>
      <c r="G10" s="55">
        <v>0</v>
      </c>
      <c r="H10" s="55">
        <f>C10+D10</f>
        <v>0</v>
      </c>
      <c r="I10" s="260">
        <v>0</v>
      </c>
      <c r="J10" s="483">
        <v>0</v>
      </c>
    </row>
    <row r="11" spans="1:10" ht="12" customHeight="1" thickBot="1">
      <c r="A11" s="9" t="s">
        <v>8</v>
      </c>
      <c r="B11" s="10" t="s">
        <v>45</v>
      </c>
      <c r="C11" s="11">
        <v>0</v>
      </c>
      <c r="D11" s="11">
        <v>0</v>
      </c>
      <c r="E11" s="55">
        <v>0</v>
      </c>
      <c r="F11" s="55">
        <v>0</v>
      </c>
      <c r="G11" s="55">
        <v>0</v>
      </c>
      <c r="H11" s="55">
        <f aca="true" t="shared" si="0" ref="H11:H20">C11+D11</f>
        <v>0</v>
      </c>
      <c r="I11" s="260">
        <v>0</v>
      </c>
      <c r="J11" s="483">
        <v>0</v>
      </c>
    </row>
    <row r="12" spans="1:10" ht="12" customHeight="1" thickBot="1">
      <c r="A12" s="9" t="s">
        <v>9</v>
      </c>
      <c r="B12" s="10" t="s">
        <v>10</v>
      </c>
      <c r="C12" s="11">
        <v>0</v>
      </c>
      <c r="D12" s="11">
        <v>0</v>
      </c>
      <c r="E12" s="55">
        <v>0</v>
      </c>
      <c r="F12" s="55">
        <v>0</v>
      </c>
      <c r="G12" s="55">
        <v>0</v>
      </c>
      <c r="H12" s="55">
        <f t="shared" si="0"/>
        <v>0</v>
      </c>
      <c r="I12" s="260">
        <v>0</v>
      </c>
      <c r="J12" s="483">
        <v>0</v>
      </c>
    </row>
    <row r="13" spans="1:10" ht="12" customHeight="1" thickBot="1">
      <c r="A13" s="9" t="s">
        <v>11</v>
      </c>
      <c r="B13" s="10" t="s">
        <v>12</v>
      </c>
      <c r="C13" s="11">
        <v>0</v>
      </c>
      <c r="D13" s="11">
        <v>0</v>
      </c>
      <c r="E13" s="55">
        <v>0</v>
      </c>
      <c r="F13" s="55">
        <v>0</v>
      </c>
      <c r="G13" s="55">
        <v>0</v>
      </c>
      <c r="H13" s="55">
        <f t="shared" si="0"/>
        <v>0</v>
      </c>
      <c r="I13" s="260">
        <v>0</v>
      </c>
      <c r="J13" s="483">
        <v>0</v>
      </c>
    </row>
    <row r="14" spans="1:10" ht="12" customHeight="1" thickBot="1">
      <c r="A14" s="9" t="s">
        <v>14</v>
      </c>
      <c r="B14" s="10" t="s">
        <v>15</v>
      </c>
      <c r="C14" s="11">
        <v>0</v>
      </c>
      <c r="D14" s="11">
        <v>0</v>
      </c>
      <c r="E14" s="55">
        <v>0</v>
      </c>
      <c r="F14" s="55">
        <v>0</v>
      </c>
      <c r="G14" s="55">
        <v>0</v>
      </c>
      <c r="H14" s="55">
        <f t="shared" si="0"/>
        <v>0</v>
      </c>
      <c r="I14" s="260">
        <v>0</v>
      </c>
      <c r="J14" s="483">
        <v>0</v>
      </c>
    </row>
    <row r="15" spans="1:10" ht="12" customHeight="1" thickBot="1">
      <c r="A15" s="9" t="s">
        <v>16</v>
      </c>
      <c r="B15" s="10" t="s">
        <v>17</v>
      </c>
      <c r="C15" s="11">
        <v>0</v>
      </c>
      <c r="D15" s="11">
        <v>0</v>
      </c>
      <c r="E15" s="55">
        <v>0</v>
      </c>
      <c r="F15" s="55">
        <v>0</v>
      </c>
      <c r="G15" s="55">
        <v>0</v>
      </c>
      <c r="H15" s="55">
        <f t="shared" si="0"/>
        <v>0</v>
      </c>
      <c r="I15" s="260">
        <v>0</v>
      </c>
      <c r="J15" s="483">
        <v>0</v>
      </c>
    </row>
    <row r="16" spans="1:10" ht="12" customHeight="1" thickBot="1">
      <c r="A16" s="9" t="s">
        <v>18</v>
      </c>
      <c r="B16" s="10" t="s">
        <v>19</v>
      </c>
      <c r="C16" s="11">
        <v>0</v>
      </c>
      <c r="D16" s="11">
        <v>0</v>
      </c>
      <c r="E16" s="55">
        <v>0</v>
      </c>
      <c r="F16" s="55">
        <v>0</v>
      </c>
      <c r="G16" s="55">
        <v>0</v>
      </c>
      <c r="H16" s="55">
        <f t="shared" si="0"/>
        <v>0</v>
      </c>
      <c r="I16" s="260">
        <v>0</v>
      </c>
      <c r="J16" s="483">
        <v>0</v>
      </c>
    </row>
    <row r="17" spans="1:10" ht="12" customHeight="1" thickBot="1">
      <c r="A17" s="9" t="s">
        <v>20</v>
      </c>
      <c r="B17" s="12" t="s">
        <v>21</v>
      </c>
      <c r="C17" s="13">
        <f>SUM(C10:C16)</f>
        <v>0</v>
      </c>
      <c r="D17" s="13">
        <f>SUM(D10:D16)</f>
        <v>0</v>
      </c>
      <c r="E17" s="13">
        <f>SUM(E10:E16)</f>
        <v>0</v>
      </c>
      <c r="F17" s="13">
        <f>SUM(F10:F16)</f>
        <v>0</v>
      </c>
      <c r="G17" s="13">
        <f>SUM(G10:G16)</f>
        <v>0</v>
      </c>
      <c r="H17" s="56">
        <f t="shared" si="0"/>
        <v>0</v>
      </c>
      <c r="I17" s="260">
        <f>SUM(I10:I16)</f>
        <v>0</v>
      </c>
      <c r="J17" s="483">
        <v>0</v>
      </c>
    </row>
    <row r="18" spans="1:10" ht="12" customHeight="1" thickBot="1">
      <c r="A18" s="9" t="s">
        <v>23</v>
      </c>
      <c r="B18" s="10" t="s">
        <v>22</v>
      </c>
      <c r="C18" s="11">
        <f>SUM(C19:C20)</f>
        <v>0</v>
      </c>
      <c r="D18" s="11">
        <f>SUM(D19:D20)</f>
        <v>0</v>
      </c>
      <c r="E18" s="11">
        <f>SUM(E19:E20)</f>
        <v>0</v>
      </c>
      <c r="F18" s="11">
        <f>SUM(F19:F20)</f>
        <v>0</v>
      </c>
      <c r="G18" s="11">
        <f>SUM(G19:G20)</f>
        <v>0</v>
      </c>
      <c r="H18" s="55">
        <f t="shared" si="0"/>
        <v>0</v>
      </c>
      <c r="I18" s="260">
        <f>SUM(I19:I20)</f>
        <v>0</v>
      </c>
      <c r="J18" s="483">
        <v>0</v>
      </c>
    </row>
    <row r="19" spans="1:10" ht="12" customHeight="1">
      <c r="A19" s="38"/>
      <c r="B19" s="14" t="s">
        <v>46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1">
        <f>C19+D19</f>
        <v>0</v>
      </c>
      <c r="I19" s="478">
        <v>0</v>
      </c>
      <c r="J19" s="489">
        <v>0</v>
      </c>
    </row>
    <row r="20" spans="1:10" ht="12" customHeight="1" thickBot="1">
      <c r="A20" s="40"/>
      <c r="B20" s="16" t="s">
        <v>47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57">
        <f t="shared" si="0"/>
        <v>0</v>
      </c>
      <c r="I20" s="481">
        <v>0</v>
      </c>
      <c r="J20" s="491">
        <v>0</v>
      </c>
    </row>
    <row r="21" spans="1:10" ht="12" customHeight="1" thickBot="1">
      <c r="A21" s="9" t="s">
        <v>24</v>
      </c>
      <c r="B21" s="10" t="s">
        <v>25</v>
      </c>
      <c r="C21" s="11">
        <f>C17+C18</f>
        <v>0</v>
      </c>
      <c r="D21" s="11">
        <f>D17+D18</f>
        <v>0</v>
      </c>
      <c r="E21" s="11">
        <f>E17+E18</f>
        <v>0</v>
      </c>
      <c r="F21" s="11">
        <f>F17+F18</f>
        <v>0</v>
      </c>
      <c r="G21" s="11">
        <f>G17+G18</f>
        <v>0</v>
      </c>
      <c r="H21" s="55">
        <f>C21+D21</f>
        <v>0</v>
      </c>
      <c r="I21" s="260">
        <f>I18+I17</f>
        <v>0</v>
      </c>
      <c r="J21" s="483">
        <v>0</v>
      </c>
    </row>
    <row r="22" spans="1:10" ht="12" customHeight="1" thickBot="1">
      <c r="A22" s="18"/>
      <c r="B22" s="18"/>
      <c r="C22" s="19"/>
      <c r="D22" s="19"/>
      <c r="E22" s="19"/>
      <c r="F22" s="19"/>
      <c r="G22" s="19"/>
      <c r="H22" s="19"/>
      <c r="I22" s="482"/>
      <c r="J22" s="483"/>
    </row>
    <row r="23" spans="1:10" ht="12" customHeight="1" thickBot="1">
      <c r="A23" s="282" t="s">
        <v>48</v>
      </c>
      <c r="B23" s="41"/>
      <c r="C23" s="41"/>
      <c r="D23" s="41"/>
      <c r="E23" s="41"/>
      <c r="F23" s="41"/>
      <c r="G23" s="41"/>
      <c r="H23" s="41"/>
      <c r="I23" s="41"/>
      <c r="J23" s="283"/>
    </row>
    <row r="24" spans="1:10" ht="12" customHeight="1" thickBot="1">
      <c r="A24" s="9" t="s">
        <v>26</v>
      </c>
      <c r="B24" s="10" t="s">
        <v>27</v>
      </c>
      <c r="C24" s="11">
        <f>SUM(C25+C33)</f>
        <v>0</v>
      </c>
      <c r="D24" s="11">
        <f>D25+D33</f>
        <v>3500</v>
      </c>
      <c r="E24" s="11">
        <f>SUM(E25:E36)</f>
        <v>0</v>
      </c>
      <c r="F24" s="55">
        <v>0</v>
      </c>
      <c r="G24" s="55">
        <v>0</v>
      </c>
      <c r="H24" s="55">
        <f>C24+D24+E24</f>
        <v>3500</v>
      </c>
      <c r="I24" s="260">
        <f>I25+I33</f>
        <v>21247</v>
      </c>
      <c r="J24" s="483">
        <f>I24/H24</f>
        <v>6.070571428571428</v>
      </c>
    </row>
    <row r="25" spans="1:10" ht="12" customHeight="1">
      <c r="A25" s="38" t="s">
        <v>49</v>
      </c>
      <c r="B25" s="14" t="s">
        <v>50</v>
      </c>
      <c r="C25" s="15">
        <f>SUM(C26:C32)</f>
        <v>0</v>
      </c>
      <c r="D25" s="15">
        <v>0</v>
      </c>
      <c r="E25" s="241">
        <v>0</v>
      </c>
      <c r="F25" s="241">
        <v>0</v>
      </c>
      <c r="G25" s="241">
        <v>0</v>
      </c>
      <c r="H25" s="241">
        <f>C25+D25</f>
        <v>0</v>
      </c>
      <c r="I25" s="539">
        <v>0</v>
      </c>
      <c r="J25" s="540">
        <v>0</v>
      </c>
    </row>
    <row r="26" spans="1:10" ht="12" customHeight="1">
      <c r="A26" s="34"/>
      <c r="B26" s="20" t="s">
        <v>51</v>
      </c>
      <c r="C26" s="21">
        <v>0</v>
      </c>
      <c r="D26" s="21">
        <v>0</v>
      </c>
      <c r="E26" s="241">
        <v>0</v>
      </c>
      <c r="F26" s="241">
        <v>0</v>
      </c>
      <c r="G26" s="241">
        <v>0</v>
      </c>
      <c r="H26" s="241">
        <f>C26+D26</f>
        <v>0</v>
      </c>
      <c r="I26" s="532">
        <v>0</v>
      </c>
      <c r="J26" s="536">
        <v>0</v>
      </c>
    </row>
    <row r="27" spans="1:10" ht="12" customHeight="1">
      <c r="A27" s="34"/>
      <c r="B27" s="20" t="s">
        <v>52</v>
      </c>
      <c r="C27" s="21">
        <v>0</v>
      </c>
      <c r="D27" s="21">
        <v>0</v>
      </c>
      <c r="E27" s="241">
        <v>0</v>
      </c>
      <c r="F27" s="241">
        <v>0</v>
      </c>
      <c r="G27" s="241">
        <v>0</v>
      </c>
      <c r="H27" s="241">
        <f aca="true" t="shared" si="1" ref="H27:H40">C27+D27</f>
        <v>0</v>
      </c>
      <c r="I27" s="532">
        <v>0</v>
      </c>
      <c r="J27" s="536">
        <v>0</v>
      </c>
    </row>
    <row r="28" spans="1:10" ht="12" customHeight="1">
      <c r="A28" s="34"/>
      <c r="B28" s="20" t="s">
        <v>53</v>
      </c>
      <c r="C28" s="21">
        <v>0</v>
      </c>
      <c r="D28" s="21">
        <v>0</v>
      </c>
      <c r="E28" s="241">
        <v>0</v>
      </c>
      <c r="F28" s="241">
        <v>0</v>
      </c>
      <c r="G28" s="241">
        <v>0</v>
      </c>
      <c r="H28" s="241">
        <f t="shared" si="1"/>
        <v>0</v>
      </c>
      <c r="I28" s="532">
        <v>0</v>
      </c>
      <c r="J28" s="536">
        <v>0</v>
      </c>
    </row>
    <row r="29" spans="1:10" ht="12" customHeight="1">
      <c r="A29" s="34"/>
      <c r="B29" s="20" t="s">
        <v>54</v>
      </c>
      <c r="C29" s="21">
        <v>0</v>
      </c>
      <c r="D29" s="21">
        <v>0</v>
      </c>
      <c r="E29" s="241">
        <v>0</v>
      </c>
      <c r="F29" s="241">
        <v>0</v>
      </c>
      <c r="G29" s="241">
        <v>0</v>
      </c>
      <c r="H29" s="241">
        <f t="shared" si="1"/>
        <v>0</v>
      </c>
      <c r="I29" s="532">
        <v>0</v>
      </c>
      <c r="J29" s="536">
        <v>0</v>
      </c>
    </row>
    <row r="30" spans="1:10" ht="12" customHeight="1">
      <c r="A30" s="34"/>
      <c r="B30" s="20" t="s">
        <v>55</v>
      </c>
      <c r="C30" s="21">
        <v>0</v>
      </c>
      <c r="D30" s="21">
        <v>0</v>
      </c>
      <c r="E30" s="241">
        <v>0</v>
      </c>
      <c r="F30" s="241">
        <v>0</v>
      </c>
      <c r="G30" s="241">
        <v>0</v>
      </c>
      <c r="H30" s="241">
        <f t="shared" si="1"/>
        <v>0</v>
      </c>
      <c r="I30" s="532">
        <v>0</v>
      </c>
      <c r="J30" s="536">
        <v>0</v>
      </c>
    </row>
    <row r="31" spans="1:10" ht="12" customHeight="1">
      <c r="A31" s="34"/>
      <c r="B31" s="20" t="s">
        <v>56</v>
      </c>
      <c r="C31" s="21">
        <v>0</v>
      </c>
      <c r="D31" s="21">
        <v>0</v>
      </c>
      <c r="E31" s="241">
        <v>0</v>
      </c>
      <c r="F31" s="241">
        <v>0</v>
      </c>
      <c r="G31" s="241">
        <v>0</v>
      </c>
      <c r="H31" s="241">
        <f t="shared" si="1"/>
        <v>0</v>
      </c>
      <c r="I31" s="532">
        <v>0</v>
      </c>
      <c r="J31" s="536">
        <v>0</v>
      </c>
    </row>
    <row r="32" spans="1:10" ht="12" customHeight="1">
      <c r="A32" s="34"/>
      <c r="B32" s="20" t="s">
        <v>57</v>
      </c>
      <c r="C32" s="21">
        <v>0</v>
      </c>
      <c r="D32" s="21">
        <v>0</v>
      </c>
      <c r="E32" s="241">
        <v>0</v>
      </c>
      <c r="F32" s="241">
        <v>0</v>
      </c>
      <c r="G32" s="241">
        <v>0</v>
      </c>
      <c r="H32" s="241">
        <f t="shared" si="1"/>
        <v>0</v>
      </c>
      <c r="I32" s="532">
        <v>0</v>
      </c>
      <c r="J32" s="536">
        <v>0</v>
      </c>
    </row>
    <row r="33" spans="1:10" ht="12" customHeight="1">
      <c r="A33" s="34" t="s">
        <v>58</v>
      </c>
      <c r="B33" s="20" t="s">
        <v>59</v>
      </c>
      <c r="C33" s="21">
        <v>0</v>
      </c>
      <c r="D33" s="21">
        <v>3500</v>
      </c>
      <c r="E33" s="241">
        <v>0</v>
      </c>
      <c r="F33" s="241">
        <v>0</v>
      </c>
      <c r="G33" s="241">
        <v>0</v>
      </c>
      <c r="H33" s="241">
        <f t="shared" si="1"/>
        <v>3500</v>
      </c>
      <c r="I33" s="532">
        <f>I34+I35+I36</f>
        <v>21247</v>
      </c>
      <c r="J33" s="536">
        <f>I33/H33</f>
        <v>6.070571428571428</v>
      </c>
    </row>
    <row r="34" spans="1:10" ht="12" customHeight="1">
      <c r="A34" s="34"/>
      <c r="B34" s="20" t="s">
        <v>60</v>
      </c>
      <c r="C34" s="21">
        <v>0</v>
      </c>
      <c r="D34" s="21">
        <v>0</v>
      </c>
      <c r="E34" s="241">
        <v>0</v>
      </c>
      <c r="F34" s="241">
        <v>0</v>
      </c>
      <c r="G34" s="241">
        <v>0</v>
      </c>
      <c r="H34" s="241">
        <f t="shared" si="1"/>
        <v>0</v>
      </c>
      <c r="I34" s="532">
        <v>0</v>
      </c>
      <c r="J34" s="536">
        <v>0</v>
      </c>
    </row>
    <row r="35" spans="1:10" ht="12" customHeight="1">
      <c r="A35" s="34"/>
      <c r="B35" s="20" t="s">
        <v>85</v>
      </c>
      <c r="C35" s="21">
        <v>0</v>
      </c>
      <c r="D35" s="21">
        <v>0</v>
      </c>
      <c r="E35" s="241">
        <v>0</v>
      </c>
      <c r="F35" s="241">
        <v>0</v>
      </c>
      <c r="G35" s="241">
        <v>0</v>
      </c>
      <c r="H35" s="241">
        <f t="shared" si="1"/>
        <v>0</v>
      </c>
      <c r="I35" s="532">
        <v>0</v>
      </c>
      <c r="J35" s="536">
        <v>0</v>
      </c>
    </row>
    <row r="36" spans="1:10" ht="12" customHeight="1" thickBot="1">
      <c r="A36" s="40"/>
      <c r="B36" s="16" t="s">
        <v>61</v>
      </c>
      <c r="C36" s="17">
        <v>0</v>
      </c>
      <c r="D36" s="17">
        <v>3500</v>
      </c>
      <c r="E36" s="242">
        <v>0</v>
      </c>
      <c r="F36" s="242">
        <v>0</v>
      </c>
      <c r="G36" s="242">
        <v>0</v>
      </c>
      <c r="H36" s="241">
        <f t="shared" si="1"/>
        <v>3500</v>
      </c>
      <c r="I36" s="541">
        <v>21247</v>
      </c>
      <c r="J36" s="535">
        <f>I36/H36</f>
        <v>6.070571428571428</v>
      </c>
    </row>
    <row r="37" spans="1:10" ht="12" customHeight="1" thickBot="1">
      <c r="A37" s="9" t="s">
        <v>28</v>
      </c>
      <c r="B37" s="22" t="s">
        <v>84</v>
      </c>
      <c r="C37" s="11">
        <f>SUM(C38:C40)</f>
        <v>0</v>
      </c>
      <c r="D37" s="11">
        <f>SUM(D38:D40)</f>
        <v>1750</v>
      </c>
      <c r="E37" s="11">
        <f>SUM(E38:E40)</f>
        <v>0</v>
      </c>
      <c r="F37" s="55">
        <v>0</v>
      </c>
      <c r="G37" s="55">
        <v>0</v>
      </c>
      <c r="H37" s="55">
        <f>E37+D37+C37</f>
        <v>1750</v>
      </c>
      <c r="I37" s="260">
        <f>SUM(I38:I40)</f>
        <v>13014</v>
      </c>
      <c r="J37" s="483">
        <f>I37/H37</f>
        <v>7.436571428571429</v>
      </c>
    </row>
    <row r="38" spans="1:10" ht="12" customHeight="1">
      <c r="A38" s="34"/>
      <c r="B38" s="20" t="s">
        <v>62</v>
      </c>
      <c r="C38" s="15">
        <v>0</v>
      </c>
      <c r="D38" s="21">
        <v>1750</v>
      </c>
      <c r="E38" s="241">
        <v>0</v>
      </c>
      <c r="F38" s="241">
        <v>0</v>
      </c>
      <c r="G38" s="241">
        <v>0</v>
      </c>
      <c r="H38" s="241">
        <f t="shared" si="1"/>
        <v>1750</v>
      </c>
      <c r="I38" s="539">
        <v>13014</v>
      </c>
      <c r="J38" s="540">
        <f>I38/H38</f>
        <v>7.436571428571429</v>
      </c>
    </row>
    <row r="39" spans="1:10" ht="12" customHeight="1">
      <c r="A39" s="34"/>
      <c r="B39" s="20" t="s">
        <v>63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41">
        <f t="shared" si="1"/>
        <v>0</v>
      </c>
      <c r="I39" s="532">
        <v>0</v>
      </c>
      <c r="J39" s="536">
        <v>0</v>
      </c>
    </row>
    <row r="40" spans="1:10" ht="12" customHeight="1" thickBot="1">
      <c r="A40" s="40"/>
      <c r="B40" s="16" t="s">
        <v>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242">
        <f t="shared" si="1"/>
        <v>0</v>
      </c>
      <c r="I40" s="541">
        <v>0</v>
      </c>
      <c r="J40" s="535">
        <v>0</v>
      </c>
    </row>
    <row r="41" spans="1:10" ht="12" customHeight="1" thickBot="1">
      <c r="A41" s="9" t="s">
        <v>29</v>
      </c>
      <c r="B41" s="10" t="s">
        <v>30</v>
      </c>
      <c r="C41" s="11">
        <f aca="true" t="shared" si="2" ref="C41:H41">SUM(C42+C43+C44+C51+C52)</f>
        <v>694000</v>
      </c>
      <c r="D41" s="11">
        <f t="shared" si="2"/>
        <v>0</v>
      </c>
      <c r="E41" s="11">
        <f t="shared" si="2"/>
        <v>1800</v>
      </c>
      <c r="F41" s="11">
        <f t="shared" si="2"/>
        <v>80000</v>
      </c>
      <c r="G41" s="11">
        <f t="shared" si="2"/>
        <v>185000</v>
      </c>
      <c r="H41" s="55">
        <f t="shared" si="2"/>
        <v>960800</v>
      </c>
      <c r="I41" s="260">
        <f>I42+I43+I44+I51+I52</f>
        <v>1186258</v>
      </c>
      <c r="J41" s="483">
        <f aca="true" t="shared" si="3" ref="J41:J47">I41/H41</f>
        <v>1.2346565362198167</v>
      </c>
    </row>
    <row r="42" spans="1:10" ht="12" customHeight="1">
      <c r="A42" s="38" t="s">
        <v>65</v>
      </c>
      <c r="B42" s="14" t="s">
        <v>67</v>
      </c>
      <c r="C42" s="15">
        <v>32000</v>
      </c>
      <c r="D42" s="15">
        <v>0</v>
      </c>
      <c r="E42" s="241">
        <v>0</v>
      </c>
      <c r="F42" s="241">
        <v>0</v>
      </c>
      <c r="G42" s="241">
        <v>0</v>
      </c>
      <c r="H42" s="241">
        <f>C42+D42+E42+F42+G42</f>
        <v>32000</v>
      </c>
      <c r="I42" s="539">
        <v>79942</v>
      </c>
      <c r="J42" s="540">
        <f t="shared" si="3"/>
        <v>2.4981875</v>
      </c>
    </row>
    <row r="43" spans="1:10" ht="12" customHeight="1">
      <c r="A43" s="34" t="s">
        <v>66</v>
      </c>
      <c r="B43" s="20" t="s">
        <v>68</v>
      </c>
      <c r="C43" s="21">
        <v>25000</v>
      </c>
      <c r="D43" s="21">
        <v>0</v>
      </c>
      <c r="E43" s="241">
        <v>0</v>
      </c>
      <c r="F43" s="241">
        <v>0</v>
      </c>
      <c r="G43" s="241">
        <v>0</v>
      </c>
      <c r="H43" s="241">
        <f>C43+D43+E43+F43+G43</f>
        <v>25000</v>
      </c>
      <c r="I43" s="532">
        <v>15776</v>
      </c>
      <c r="J43" s="536">
        <f t="shared" si="3"/>
        <v>0.63104</v>
      </c>
    </row>
    <row r="44" spans="1:10" ht="12" customHeight="1">
      <c r="A44" s="34" t="s">
        <v>69</v>
      </c>
      <c r="B44" s="20" t="s">
        <v>70</v>
      </c>
      <c r="C44" s="21">
        <f>SUM(C45:C50)</f>
        <v>489000</v>
      </c>
      <c r="D44" s="21">
        <f>SUM(D45:D50)</f>
        <v>0</v>
      </c>
      <c r="E44" s="21">
        <f>SUM(E45:E50)</f>
        <v>1800</v>
      </c>
      <c r="F44" s="21">
        <f>SUM(F45:F50)</f>
        <v>80000</v>
      </c>
      <c r="G44" s="21">
        <f>SUM(G45:G50)</f>
        <v>155000</v>
      </c>
      <c r="H44" s="241">
        <f aca="true" t="shared" si="4" ref="H44:H54">C44+D44+E44+F44+G44</f>
        <v>725800</v>
      </c>
      <c r="I44" s="532">
        <f>SUM(I45:I50)</f>
        <v>893554</v>
      </c>
      <c r="J44" s="536">
        <f t="shared" si="3"/>
        <v>1.2311297878203362</v>
      </c>
    </row>
    <row r="45" spans="1:10" ht="12" customHeight="1">
      <c r="A45" s="34"/>
      <c r="B45" s="20" t="s">
        <v>91</v>
      </c>
      <c r="C45" s="21">
        <v>439000</v>
      </c>
      <c r="D45" s="21">
        <v>0</v>
      </c>
      <c r="E45" s="241">
        <v>0</v>
      </c>
      <c r="F45" s="241">
        <v>0</v>
      </c>
      <c r="G45" s="241">
        <v>140000</v>
      </c>
      <c r="H45" s="241">
        <f t="shared" si="4"/>
        <v>579000</v>
      </c>
      <c r="I45" s="532">
        <v>511601</v>
      </c>
      <c r="J45" s="536">
        <f t="shared" si="3"/>
        <v>0.883594127806563</v>
      </c>
    </row>
    <row r="46" spans="1:10" ht="12" customHeight="1">
      <c r="A46" s="34"/>
      <c r="B46" s="23" t="s">
        <v>97</v>
      </c>
      <c r="C46" s="21">
        <v>50000</v>
      </c>
      <c r="D46" s="21">
        <v>0</v>
      </c>
      <c r="E46" s="241">
        <v>0</v>
      </c>
      <c r="F46" s="241">
        <v>0</v>
      </c>
      <c r="G46" s="241">
        <v>15000</v>
      </c>
      <c r="H46" s="241">
        <f t="shared" si="4"/>
        <v>65000</v>
      </c>
      <c r="I46" s="532">
        <v>50993</v>
      </c>
      <c r="J46" s="536">
        <f t="shared" si="3"/>
        <v>0.7845076923076924</v>
      </c>
    </row>
    <row r="47" spans="1:10" ht="12" customHeight="1">
      <c r="A47" s="34"/>
      <c r="B47" s="20" t="s">
        <v>71</v>
      </c>
      <c r="C47" s="21">
        <v>0</v>
      </c>
      <c r="D47" s="21">
        <v>0</v>
      </c>
      <c r="E47" s="241">
        <v>0</v>
      </c>
      <c r="F47" s="241">
        <v>80000</v>
      </c>
      <c r="G47" s="241">
        <v>0</v>
      </c>
      <c r="H47" s="241">
        <f>C47+D47+E47+F47+G47</f>
        <v>80000</v>
      </c>
      <c r="I47" s="532">
        <v>80000</v>
      </c>
      <c r="J47" s="536">
        <f t="shared" si="3"/>
        <v>1</v>
      </c>
    </row>
    <row r="48" spans="1:10" ht="12" customHeight="1">
      <c r="A48" s="34"/>
      <c r="B48" s="20" t="s">
        <v>92</v>
      </c>
      <c r="C48" s="21">
        <v>0</v>
      </c>
      <c r="D48" s="21">
        <v>0</v>
      </c>
      <c r="E48" s="241">
        <v>0</v>
      </c>
      <c r="F48" s="241">
        <v>0</v>
      </c>
      <c r="G48" s="241">
        <v>0</v>
      </c>
      <c r="H48" s="241">
        <f t="shared" si="4"/>
        <v>0</v>
      </c>
      <c r="I48" s="532">
        <v>0</v>
      </c>
      <c r="J48" s="536">
        <v>0</v>
      </c>
    </row>
    <row r="49" spans="1:10" ht="12" customHeight="1">
      <c r="A49" s="34"/>
      <c r="B49" s="20" t="s">
        <v>72</v>
      </c>
      <c r="C49" s="21">
        <v>0</v>
      </c>
      <c r="D49" s="21">
        <v>0</v>
      </c>
      <c r="E49" s="241">
        <v>0</v>
      </c>
      <c r="F49" s="241">
        <v>0</v>
      </c>
      <c r="G49" s="241">
        <v>0</v>
      </c>
      <c r="H49" s="241">
        <f t="shared" si="4"/>
        <v>0</v>
      </c>
      <c r="I49" s="532">
        <v>43000</v>
      </c>
      <c r="J49" s="536"/>
    </row>
    <row r="50" spans="1:10" ht="12" customHeight="1">
      <c r="A50" s="34"/>
      <c r="B50" s="20" t="s">
        <v>73</v>
      </c>
      <c r="C50" s="21">
        <v>0</v>
      </c>
      <c r="D50" s="21">
        <v>0</v>
      </c>
      <c r="E50" s="241">
        <v>1800</v>
      </c>
      <c r="F50" s="241">
        <v>0</v>
      </c>
      <c r="G50" s="241">
        <v>0</v>
      </c>
      <c r="H50" s="241">
        <f t="shared" si="4"/>
        <v>1800</v>
      </c>
      <c r="I50" s="532">
        <v>207960</v>
      </c>
      <c r="J50" s="536">
        <f>I50/H50</f>
        <v>115.53333333333333</v>
      </c>
    </row>
    <row r="51" spans="1:10" ht="12" customHeight="1">
      <c r="A51" s="34" t="s">
        <v>74</v>
      </c>
      <c r="B51" s="20" t="s">
        <v>75</v>
      </c>
      <c r="C51" s="21">
        <v>0</v>
      </c>
      <c r="D51" s="21">
        <v>0</v>
      </c>
      <c r="E51" s="241">
        <v>0</v>
      </c>
      <c r="F51" s="241">
        <v>0</v>
      </c>
      <c r="G51" s="241">
        <v>0</v>
      </c>
      <c r="H51" s="241">
        <f t="shared" si="4"/>
        <v>0</v>
      </c>
      <c r="I51" s="532">
        <v>0</v>
      </c>
      <c r="J51" s="536">
        <v>0</v>
      </c>
    </row>
    <row r="52" spans="1:10" ht="12" customHeight="1">
      <c r="A52" s="34" t="s">
        <v>76</v>
      </c>
      <c r="B52" s="20" t="s">
        <v>77</v>
      </c>
      <c r="C52" s="21">
        <f>SUM(C53:C54)</f>
        <v>148000</v>
      </c>
      <c r="D52" s="21">
        <f>SUM(D53:D54)</f>
        <v>0</v>
      </c>
      <c r="E52" s="21">
        <f>SUM(E53:E54)</f>
        <v>0</v>
      </c>
      <c r="F52" s="21">
        <f>SUM(F53:F54)</f>
        <v>0</v>
      </c>
      <c r="G52" s="21">
        <f>SUM(G53:G54)</f>
        <v>30000</v>
      </c>
      <c r="H52" s="241">
        <f t="shared" si="4"/>
        <v>178000</v>
      </c>
      <c r="I52" s="532">
        <f>SUM(I53:I54)</f>
        <v>196986</v>
      </c>
      <c r="J52" s="536">
        <f>I52/H52</f>
        <v>1.1066629213483146</v>
      </c>
    </row>
    <row r="53" spans="1:10" ht="12" customHeight="1">
      <c r="A53" s="34"/>
      <c r="B53" s="20" t="s">
        <v>87</v>
      </c>
      <c r="C53" s="21">
        <v>148000</v>
      </c>
      <c r="D53" s="21">
        <v>0</v>
      </c>
      <c r="E53" s="62">
        <v>0</v>
      </c>
      <c r="F53" s="62">
        <v>0</v>
      </c>
      <c r="G53" s="62">
        <v>30000</v>
      </c>
      <c r="H53" s="241">
        <f t="shared" si="4"/>
        <v>178000</v>
      </c>
      <c r="I53" s="532">
        <v>196986</v>
      </c>
      <c r="J53" s="536">
        <f>I53/H53</f>
        <v>1.1066629213483146</v>
      </c>
    </row>
    <row r="54" spans="1:10" ht="12" customHeight="1" thickBot="1">
      <c r="A54" s="40"/>
      <c r="B54" s="16" t="s">
        <v>79</v>
      </c>
      <c r="C54" s="17">
        <v>0</v>
      </c>
      <c r="D54" s="17">
        <v>0</v>
      </c>
      <c r="E54" s="242">
        <v>0</v>
      </c>
      <c r="F54" s="242">
        <v>0</v>
      </c>
      <c r="G54" s="242">
        <v>0</v>
      </c>
      <c r="H54" s="241">
        <f t="shared" si="4"/>
        <v>0</v>
      </c>
      <c r="I54" s="541">
        <v>0</v>
      </c>
      <c r="J54" s="535">
        <v>0</v>
      </c>
    </row>
    <row r="55" spans="1:10" ht="12" customHeight="1" thickBot="1">
      <c r="A55" s="9" t="s">
        <v>31</v>
      </c>
      <c r="B55" s="10" t="s">
        <v>32</v>
      </c>
      <c r="C55" s="11">
        <v>0</v>
      </c>
      <c r="D55" s="11">
        <v>0</v>
      </c>
      <c r="E55" s="55">
        <v>0</v>
      </c>
      <c r="F55" s="55">
        <v>0</v>
      </c>
      <c r="G55" s="55">
        <v>0</v>
      </c>
      <c r="H55" s="55">
        <f>C55+D55</f>
        <v>0</v>
      </c>
      <c r="I55" s="260">
        <v>0</v>
      </c>
      <c r="J55" s="483">
        <v>0</v>
      </c>
    </row>
    <row r="56" spans="1:10" ht="12" customHeight="1" thickBot="1">
      <c r="A56" s="9" t="s">
        <v>33</v>
      </c>
      <c r="B56" s="10" t="s">
        <v>80</v>
      </c>
      <c r="C56" s="11">
        <v>0</v>
      </c>
      <c r="D56" s="11">
        <v>0</v>
      </c>
      <c r="E56" s="55">
        <v>0</v>
      </c>
      <c r="F56" s="55">
        <v>0</v>
      </c>
      <c r="G56" s="55">
        <v>0</v>
      </c>
      <c r="H56" s="55">
        <f>C56+D56</f>
        <v>0</v>
      </c>
      <c r="I56" s="260">
        <v>0</v>
      </c>
      <c r="J56" s="483">
        <v>0</v>
      </c>
    </row>
    <row r="57" spans="1:10" ht="12" customHeight="1" thickBot="1">
      <c r="A57" s="9" t="s">
        <v>34</v>
      </c>
      <c r="B57" s="10" t="s">
        <v>35</v>
      </c>
      <c r="C57" s="11">
        <v>398000</v>
      </c>
      <c r="D57" s="11">
        <v>0</v>
      </c>
      <c r="E57" s="55">
        <v>0</v>
      </c>
      <c r="F57" s="55">
        <v>0</v>
      </c>
      <c r="G57" s="55">
        <v>0</v>
      </c>
      <c r="H57" s="55">
        <f>C57+D57+E57</f>
        <v>398000</v>
      </c>
      <c r="I57" s="260">
        <v>279200</v>
      </c>
      <c r="J57" s="483">
        <f>I57/H57</f>
        <v>0.7015075376884422</v>
      </c>
    </row>
    <row r="58" spans="1:10" ht="12" customHeight="1" thickBot="1">
      <c r="A58" s="9"/>
      <c r="B58" s="10" t="s">
        <v>93</v>
      </c>
      <c r="C58" s="11">
        <v>108000</v>
      </c>
      <c r="D58" s="11">
        <v>0</v>
      </c>
      <c r="E58" s="55">
        <v>0</v>
      </c>
      <c r="F58" s="55">
        <v>0</v>
      </c>
      <c r="G58" s="55">
        <v>0</v>
      </c>
      <c r="H58" s="55">
        <f>C58+D58+E58</f>
        <v>108000</v>
      </c>
      <c r="I58" s="260">
        <v>75384</v>
      </c>
      <c r="J58" s="492">
        <f aca="true" t="shared" si="5" ref="J58:J65">I58/H58</f>
        <v>0.698</v>
      </c>
    </row>
    <row r="59" spans="1:10" ht="12" customHeight="1" thickBot="1">
      <c r="A59" s="9" t="s">
        <v>36</v>
      </c>
      <c r="B59" s="10" t="s">
        <v>37</v>
      </c>
      <c r="C59" s="11">
        <v>0</v>
      </c>
      <c r="D59" s="11">
        <v>0</v>
      </c>
      <c r="E59" s="55">
        <v>0</v>
      </c>
      <c r="F59" s="55">
        <v>0</v>
      </c>
      <c r="G59" s="55">
        <v>0</v>
      </c>
      <c r="H59" s="55">
        <f>C59+D59</f>
        <v>0</v>
      </c>
      <c r="I59" s="260">
        <v>0</v>
      </c>
      <c r="J59" s="493">
        <v>0</v>
      </c>
    </row>
    <row r="60" spans="1:10" ht="12" customHeight="1" thickBot="1">
      <c r="A60" s="9"/>
      <c r="B60" s="10" t="s">
        <v>89</v>
      </c>
      <c r="C60" s="11">
        <v>0</v>
      </c>
      <c r="D60" s="11">
        <v>0</v>
      </c>
      <c r="E60" s="55">
        <v>0</v>
      </c>
      <c r="F60" s="55">
        <v>0</v>
      </c>
      <c r="G60" s="55">
        <v>0</v>
      </c>
      <c r="H60" s="55">
        <f>C60+D60</f>
        <v>0</v>
      </c>
      <c r="I60" s="260">
        <v>0</v>
      </c>
      <c r="J60" s="483">
        <v>0</v>
      </c>
    </row>
    <row r="61" spans="1:10" ht="12" customHeight="1" thickBot="1">
      <c r="A61" s="9" t="s">
        <v>38</v>
      </c>
      <c r="B61" s="10" t="s">
        <v>94</v>
      </c>
      <c r="C61" s="11">
        <v>0</v>
      </c>
      <c r="D61" s="11">
        <v>0</v>
      </c>
      <c r="E61" s="55">
        <v>0</v>
      </c>
      <c r="F61" s="55">
        <v>0</v>
      </c>
      <c r="G61" s="55">
        <v>0</v>
      </c>
      <c r="H61" s="55">
        <f>C61+D61</f>
        <v>0</v>
      </c>
      <c r="I61" s="260">
        <v>0</v>
      </c>
      <c r="J61" s="483">
        <v>0</v>
      </c>
    </row>
    <row r="62" spans="1:10" ht="12" customHeight="1" thickBot="1">
      <c r="A62" s="9" t="s">
        <v>39</v>
      </c>
      <c r="B62" s="10" t="s">
        <v>82</v>
      </c>
      <c r="C62" s="11">
        <f aca="true" t="shared" si="6" ref="C62:H62">C61+C60+C59+C58+C57+C56+C55+C41+C37+C24</f>
        <v>1200000</v>
      </c>
      <c r="D62" s="11">
        <f t="shared" si="6"/>
        <v>5250</v>
      </c>
      <c r="E62" s="11">
        <f t="shared" si="6"/>
        <v>1800</v>
      </c>
      <c r="F62" s="11">
        <f t="shared" si="6"/>
        <v>80000</v>
      </c>
      <c r="G62" s="11">
        <f t="shared" si="6"/>
        <v>185000</v>
      </c>
      <c r="H62" s="55">
        <f t="shared" si="6"/>
        <v>1472050</v>
      </c>
      <c r="I62" s="260">
        <f>I60+I59+I58+I57+I56+I55+I41+I37+I24</f>
        <v>1575103</v>
      </c>
      <c r="J62" s="483">
        <f t="shared" si="5"/>
        <v>1.0700064535851364</v>
      </c>
    </row>
    <row r="63" spans="1:10" ht="12" customHeight="1" thickBot="1">
      <c r="A63" s="9" t="s">
        <v>40</v>
      </c>
      <c r="B63" s="10" t="s">
        <v>41</v>
      </c>
      <c r="C63" s="11">
        <f>SUM(C64:C64)</f>
        <v>0</v>
      </c>
      <c r="D63" s="11">
        <f>SUM(D64:D64)</f>
        <v>0</v>
      </c>
      <c r="E63" s="55">
        <v>0</v>
      </c>
      <c r="F63" s="55">
        <v>0</v>
      </c>
      <c r="G63" s="55">
        <v>0</v>
      </c>
      <c r="H63" s="55">
        <f>C63+D63</f>
        <v>0</v>
      </c>
      <c r="I63" s="260">
        <v>0</v>
      </c>
      <c r="J63" s="483">
        <v>0</v>
      </c>
    </row>
    <row r="64" spans="1:10" ht="12" customHeight="1" hidden="1" thickBot="1">
      <c r="A64" s="40"/>
      <c r="B64" s="16" t="s">
        <v>95</v>
      </c>
      <c r="C64" s="17">
        <v>0</v>
      </c>
      <c r="D64" s="17">
        <v>0</v>
      </c>
      <c r="E64" s="242">
        <v>0</v>
      </c>
      <c r="F64" s="242">
        <v>0</v>
      </c>
      <c r="G64" s="242">
        <v>0</v>
      </c>
      <c r="H64" s="243">
        <f>C64+D64</f>
        <v>0</v>
      </c>
      <c r="I64" s="260"/>
      <c r="J64" s="483" t="e">
        <f t="shared" si="5"/>
        <v>#DIV/0!</v>
      </c>
    </row>
    <row r="65" spans="1:10" ht="12" customHeight="1" thickBot="1">
      <c r="A65" s="9" t="s">
        <v>42</v>
      </c>
      <c r="B65" s="10" t="s">
        <v>43</v>
      </c>
      <c r="C65" s="11">
        <f aca="true" t="shared" si="7" ref="C65:H65">C62+C63</f>
        <v>1200000</v>
      </c>
      <c r="D65" s="11">
        <f t="shared" si="7"/>
        <v>5250</v>
      </c>
      <c r="E65" s="11">
        <f t="shared" si="7"/>
        <v>1800</v>
      </c>
      <c r="F65" s="11">
        <f t="shared" si="7"/>
        <v>80000</v>
      </c>
      <c r="G65" s="11">
        <f t="shared" si="7"/>
        <v>185000</v>
      </c>
      <c r="H65" s="55">
        <f t="shared" si="7"/>
        <v>1472050</v>
      </c>
      <c r="I65" s="260">
        <f>I63+I62</f>
        <v>1575103</v>
      </c>
      <c r="J65" s="483">
        <f t="shared" si="5"/>
        <v>1.0700064535851364</v>
      </c>
    </row>
    <row r="66" spans="9:10" ht="15">
      <c r="I66" s="499"/>
      <c r="J66" s="500"/>
    </row>
    <row r="67" spans="9:10" ht="15">
      <c r="I67" s="484"/>
      <c r="J67" s="485"/>
    </row>
    <row r="91" spans="3:11" ht="15">
      <c r="C91" s="54"/>
      <c r="K91" s="54"/>
    </row>
    <row r="93" ht="15">
      <c r="K93" s="54"/>
    </row>
    <row r="101" ht="15">
      <c r="K101" s="54"/>
    </row>
  </sheetData>
  <sheetProtection/>
  <mergeCells count="4">
    <mergeCell ref="A6:H6"/>
    <mergeCell ref="B1:H1"/>
    <mergeCell ref="A3:J3"/>
    <mergeCell ref="A4:J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9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tamas.schrempf</dc:creator>
  <cp:keywords/>
  <dc:description/>
  <cp:lastModifiedBy>attilane.felhoffer</cp:lastModifiedBy>
  <cp:lastPrinted>2017-05-26T05:45:07Z</cp:lastPrinted>
  <dcterms:created xsi:type="dcterms:W3CDTF">2014-01-14T10:11:37Z</dcterms:created>
  <dcterms:modified xsi:type="dcterms:W3CDTF">2017-05-26T06:02:04Z</dcterms:modified>
  <cp:category/>
  <cp:version/>
  <cp:contentType/>
  <cp:contentStatus/>
</cp:coreProperties>
</file>