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Hivatali Dokumentumok\_KÖZÖS DOKUMENTUMOK\_PÉNZÜGY\2020. év\Költségvetés\Abda\KT\I.félév\"/>
    </mc:Choice>
  </mc:AlternateContent>
  <xr:revisionPtr revIDLastSave="0" documentId="13_ncr:1_{DCCDB0C3-3AF7-4589-AF6B-6B26B87E4E38}" xr6:coauthVersionLast="45" xr6:coauthVersionMax="45" xr10:uidLastSave="{00000000-0000-0000-0000-000000000000}"/>
  <bookViews>
    <workbookView xWindow="-120" yWindow="-120" windowWidth="29040" windowHeight="15840" tabRatio="944" activeTab="2" xr2:uid="{00000000-000D-0000-FFFF-FFFF00000000}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Bevételek'!$A$1:$M$48</definedName>
    <definedName name="_xlnm.Print_Area" localSheetId="2">'2. Kiadások'!$A$1:$M$31</definedName>
  </definedNames>
  <calcPr calcId="181029"/>
</workbook>
</file>

<file path=xl/calcChain.xml><?xml version="1.0" encoding="utf-8"?>
<calcChain xmlns="http://schemas.openxmlformats.org/spreadsheetml/2006/main">
  <c r="O9" i="41" l="1"/>
  <c r="K35" i="197" l="1"/>
  <c r="L35" i="197"/>
  <c r="M35" i="197"/>
  <c r="N35" i="197"/>
  <c r="K33" i="197"/>
  <c r="L33" i="197"/>
  <c r="M33" i="197"/>
  <c r="N33" i="197"/>
  <c r="R18" i="196"/>
  <c r="S18" i="196"/>
  <c r="T18" i="196"/>
  <c r="R7" i="196"/>
  <c r="R8" i="196"/>
  <c r="R9" i="196"/>
  <c r="R10" i="196"/>
  <c r="R11" i="196"/>
  <c r="R12" i="196"/>
  <c r="R13" i="196"/>
  <c r="R14" i="196"/>
  <c r="R15" i="196"/>
  <c r="R6" i="196"/>
  <c r="N31" i="196"/>
  <c r="O31" i="196"/>
  <c r="P31" i="196"/>
  <c r="N30" i="196"/>
  <c r="O30" i="196"/>
  <c r="P30" i="196"/>
  <c r="N26" i="196"/>
  <c r="N25" i="196"/>
  <c r="O28" i="196"/>
  <c r="P28" i="196"/>
  <c r="N27" i="196"/>
  <c r="N28" i="196" s="1"/>
  <c r="O27" i="196"/>
  <c r="P27" i="196"/>
  <c r="K19" i="197"/>
  <c r="L19" i="197"/>
  <c r="M19" i="197"/>
  <c r="J19" i="197"/>
  <c r="K7" i="197"/>
  <c r="K8" i="197"/>
  <c r="K9" i="197"/>
  <c r="K10" i="197"/>
  <c r="K11" i="197"/>
  <c r="K12" i="197"/>
  <c r="K13" i="197"/>
  <c r="K14" i="197"/>
  <c r="K15" i="197"/>
  <c r="K16" i="197"/>
  <c r="K17" i="197"/>
  <c r="K18" i="197"/>
  <c r="K6" i="197"/>
  <c r="O18" i="196"/>
  <c r="P18" i="196"/>
  <c r="N7" i="196"/>
  <c r="N8" i="196"/>
  <c r="N9" i="196"/>
  <c r="N10" i="196"/>
  <c r="N11" i="196"/>
  <c r="N12" i="196"/>
  <c r="N13" i="196"/>
  <c r="N14" i="196"/>
  <c r="N18" i="196" s="1"/>
  <c r="N6" i="196"/>
  <c r="F32" i="201"/>
  <c r="K33" i="201"/>
  <c r="M33" i="201"/>
  <c r="M32" i="201"/>
  <c r="M29" i="201"/>
  <c r="M28" i="201"/>
  <c r="M21" i="201"/>
  <c r="N20" i="201"/>
  <c r="N19" i="201"/>
  <c r="N18" i="201"/>
  <c r="N17" i="201"/>
  <c r="F33" i="201"/>
  <c r="G33" i="201"/>
  <c r="H32" i="201"/>
  <c r="H28" i="201"/>
  <c r="I26" i="201"/>
  <c r="I27" i="201"/>
  <c r="I25" i="201"/>
  <c r="I24" i="201"/>
  <c r="I23" i="201"/>
  <c r="I22" i="201"/>
  <c r="I21" i="201"/>
  <c r="I20" i="201"/>
  <c r="I19" i="201"/>
  <c r="I18" i="201"/>
  <c r="I17" i="201"/>
  <c r="H16" i="201"/>
  <c r="I11" i="201"/>
  <c r="I12" i="201"/>
  <c r="I13" i="201"/>
  <c r="I14" i="201"/>
  <c r="I15" i="201"/>
  <c r="I10" i="201"/>
  <c r="H8" i="201"/>
  <c r="H29" i="201" s="1"/>
  <c r="H33" i="201" s="1"/>
  <c r="I7" i="201"/>
  <c r="I6" i="201"/>
  <c r="M16" i="201"/>
  <c r="N13" i="201"/>
  <c r="N14" i="201"/>
  <c r="N15" i="201"/>
  <c r="N12" i="201"/>
  <c r="K49" i="202"/>
  <c r="L49" i="202"/>
  <c r="M49" i="202"/>
  <c r="K48" i="202"/>
  <c r="L48" i="202"/>
  <c r="M48" i="202"/>
  <c r="N48" i="202"/>
  <c r="L34" i="202"/>
  <c r="M34" i="202"/>
  <c r="K34" i="202"/>
  <c r="K39" i="202"/>
  <c r="L39" i="202"/>
  <c r="M39" i="202"/>
  <c r="M32" i="202"/>
  <c r="N25" i="202"/>
  <c r="N26" i="202"/>
  <c r="N27" i="202"/>
  <c r="N28" i="202"/>
  <c r="N29" i="202"/>
  <c r="N30" i="202"/>
  <c r="N31" i="202"/>
  <c r="N24" i="202"/>
  <c r="F49" i="202"/>
  <c r="G49" i="202"/>
  <c r="H49" i="202"/>
  <c r="F48" i="202"/>
  <c r="G48" i="202"/>
  <c r="H48" i="202"/>
  <c r="F47" i="202"/>
  <c r="G47" i="202"/>
  <c r="H47" i="202"/>
  <c r="F45" i="202"/>
  <c r="G45" i="202"/>
  <c r="H45" i="202"/>
  <c r="F43" i="202"/>
  <c r="G43" i="202"/>
  <c r="H43" i="202"/>
  <c r="F41" i="202"/>
  <c r="G41" i="202"/>
  <c r="H41" i="202"/>
  <c r="G38" i="202"/>
  <c r="H38" i="202"/>
  <c r="F34" i="202"/>
  <c r="H34" i="202"/>
  <c r="I25" i="202"/>
  <c r="I26" i="202"/>
  <c r="I27" i="202"/>
  <c r="I28" i="202"/>
  <c r="I29" i="202"/>
  <c r="I30" i="202"/>
  <c r="I31" i="202"/>
  <c r="I24" i="202"/>
  <c r="I19" i="202"/>
  <c r="I20" i="202"/>
  <c r="I18" i="202"/>
  <c r="H32" i="202"/>
  <c r="H23" i="202"/>
  <c r="G21" i="202"/>
  <c r="H21" i="202"/>
  <c r="H16" i="202"/>
  <c r="I12" i="202"/>
  <c r="I13" i="202"/>
  <c r="I14" i="202"/>
  <c r="I11" i="202"/>
  <c r="H15" i="202"/>
  <c r="H10" i="202"/>
  <c r="I7" i="202"/>
  <c r="I8" i="202"/>
  <c r="I9" i="202"/>
  <c r="I6" i="202"/>
  <c r="J27" i="196" l="1"/>
  <c r="I19" i="196"/>
  <c r="I27" i="196" s="1"/>
  <c r="J19" i="196"/>
  <c r="I18" i="196"/>
  <c r="J18" i="196"/>
  <c r="J28" i="196" l="1"/>
  <c r="J30" i="196" s="1"/>
  <c r="I28" i="196"/>
  <c r="I30" i="196" s="1"/>
  <c r="I46" i="41"/>
  <c r="J45" i="41"/>
  <c r="J43" i="41"/>
  <c r="J44" i="41" s="1"/>
  <c r="P45" i="41"/>
  <c r="P46" i="41" s="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P6" i="41"/>
  <c r="P5" i="41"/>
  <c r="O45" i="41"/>
  <c r="O46" i="41" s="1"/>
  <c r="O44" i="41"/>
  <c r="O43" i="41"/>
  <c r="O42" i="41"/>
  <c r="O41" i="41"/>
  <c r="O40" i="41"/>
  <c r="O39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O8" i="41"/>
  <c r="O7" i="41"/>
  <c r="O6" i="41"/>
  <c r="O5" i="41"/>
  <c r="N33" i="41"/>
  <c r="N37" i="41"/>
  <c r="N45" i="41"/>
  <c r="N46" i="41" s="1"/>
  <c r="N43" i="41"/>
  <c r="N42" i="41"/>
  <c r="N41" i="41"/>
  <c r="N40" i="41"/>
  <c r="N39" i="41"/>
  <c r="N36" i="41"/>
  <c r="N35" i="41"/>
  <c r="N34" i="41"/>
  <c r="N32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N6" i="41"/>
  <c r="N5" i="41"/>
  <c r="J25" i="41"/>
  <c r="J26" i="41"/>
  <c r="J27" i="41"/>
  <c r="J28" i="41"/>
  <c r="J29" i="41"/>
  <c r="J30" i="41"/>
  <c r="J24" i="41"/>
  <c r="J22" i="41"/>
  <c r="K22" i="41"/>
  <c r="L22" i="41"/>
  <c r="J20" i="41"/>
  <c r="K20" i="41"/>
  <c r="L20" i="41"/>
  <c r="J14" i="41"/>
  <c r="J15" i="41" s="1"/>
  <c r="K14" i="41"/>
  <c r="K15" i="41" s="1"/>
  <c r="L14" i="41"/>
  <c r="L15" i="41"/>
  <c r="L38" i="41" s="1"/>
  <c r="L47" i="41"/>
  <c r="J46" i="41"/>
  <c r="K46" i="41"/>
  <c r="K47" i="41" s="1"/>
  <c r="L46" i="41"/>
  <c r="K44" i="41"/>
  <c r="L44" i="41"/>
  <c r="J42" i="41"/>
  <c r="K42" i="41"/>
  <c r="L42" i="41"/>
  <c r="J40" i="41"/>
  <c r="K40" i="41"/>
  <c r="L40" i="41"/>
  <c r="J33" i="41"/>
  <c r="K33" i="41"/>
  <c r="L33" i="41"/>
  <c r="K31" i="41"/>
  <c r="L31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P30" i="5"/>
  <c r="P29" i="5"/>
  <c r="P28" i="5"/>
  <c r="O29" i="5"/>
  <c r="O28" i="5"/>
  <c r="N29" i="5"/>
  <c r="N28" i="5"/>
  <c r="O31" i="5"/>
  <c r="O30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P25" i="5"/>
  <c r="P24" i="5"/>
  <c r="P23" i="5"/>
  <c r="P22" i="5"/>
  <c r="P21" i="5"/>
  <c r="P20" i="5"/>
  <c r="P18" i="5"/>
  <c r="P17" i="5"/>
  <c r="P16" i="5"/>
  <c r="P15" i="5"/>
  <c r="P13" i="5"/>
  <c r="P12" i="5"/>
  <c r="P11" i="5"/>
  <c r="P10" i="5"/>
  <c r="P9" i="5"/>
  <c r="P8" i="5"/>
  <c r="P6" i="5"/>
  <c r="P5" i="5"/>
  <c r="M29" i="5"/>
  <c r="M28" i="5"/>
  <c r="M24" i="5"/>
  <c r="M25" i="5"/>
  <c r="M23" i="5"/>
  <c r="M18" i="5"/>
  <c r="M17" i="5"/>
  <c r="M15" i="5"/>
  <c r="M16" i="5"/>
  <c r="M10" i="5"/>
  <c r="M11" i="5"/>
  <c r="M12" i="5"/>
  <c r="M9" i="5"/>
  <c r="M8" i="5"/>
  <c r="M6" i="5"/>
  <c r="M5" i="5"/>
  <c r="J29" i="5"/>
  <c r="J28" i="5"/>
  <c r="J30" i="5" s="1"/>
  <c r="K30" i="5"/>
  <c r="L30" i="5"/>
  <c r="J26" i="5"/>
  <c r="J24" i="5"/>
  <c r="J25" i="5"/>
  <c r="J23" i="5"/>
  <c r="J21" i="5"/>
  <c r="J22" i="5"/>
  <c r="J20" i="5"/>
  <c r="K19" i="5"/>
  <c r="L19" i="5"/>
  <c r="J18" i="5"/>
  <c r="J17" i="5"/>
  <c r="J19" i="5" s="1"/>
  <c r="J16" i="5"/>
  <c r="J15" i="5"/>
  <c r="K14" i="5"/>
  <c r="L14" i="5"/>
  <c r="J8" i="5"/>
  <c r="K7" i="5"/>
  <c r="L7" i="5"/>
  <c r="J10" i="5"/>
  <c r="J11" i="5"/>
  <c r="J12" i="5"/>
  <c r="J13" i="5"/>
  <c r="J9" i="5"/>
  <c r="J6" i="5"/>
  <c r="J5" i="5"/>
  <c r="F14" i="198"/>
  <c r="F15" i="198" s="1"/>
  <c r="G14" i="198"/>
  <c r="G15" i="198" s="1"/>
  <c r="H56" i="194"/>
  <c r="H48" i="194"/>
  <c r="H47" i="194"/>
  <c r="H44" i="194"/>
  <c r="J31" i="41" l="1"/>
  <c r="N31" i="41" s="1"/>
  <c r="N44" i="41"/>
  <c r="N47" i="41" s="1"/>
  <c r="J47" i="41"/>
  <c r="L48" i="41"/>
  <c r="P47" i="41"/>
  <c r="P48" i="41" s="1"/>
  <c r="O47" i="41"/>
  <c r="K38" i="41"/>
  <c r="J7" i="5"/>
  <c r="J14" i="5"/>
  <c r="J27" i="5" s="1"/>
  <c r="J31" i="5" s="1"/>
  <c r="L27" i="5"/>
  <c r="L31" i="5" s="1"/>
  <c r="K27" i="5"/>
  <c r="K31" i="5" s="1"/>
  <c r="J59" i="194"/>
  <c r="H57" i="194"/>
  <c r="I57" i="194"/>
  <c r="J57" i="194"/>
  <c r="H55" i="194"/>
  <c r="I55" i="194"/>
  <c r="J55" i="194"/>
  <c r="J53" i="194"/>
  <c r="H49" i="194"/>
  <c r="I49" i="194"/>
  <c r="J49" i="194"/>
  <c r="H46" i="194"/>
  <c r="I46" i="194"/>
  <c r="J46" i="194"/>
  <c r="H43" i="194"/>
  <c r="I43" i="194"/>
  <c r="J43" i="194"/>
  <c r="J42" i="194"/>
  <c r="J39" i="194"/>
  <c r="H39" i="194"/>
  <c r="J34" i="194"/>
  <c r="J30" i="194" s="1"/>
  <c r="J26" i="194" s="1"/>
  <c r="J36" i="194"/>
  <c r="H32" i="194"/>
  <c r="H33" i="194"/>
  <c r="H30" i="194" s="1"/>
  <c r="H34" i="194"/>
  <c r="H35" i="194"/>
  <c r="H31" i="194"/>
  <c r="G28" i="194"/>
  <c r="H28" i="194"/>
  <c r="H27" i="194" s="1"/>
  <c r="H20" i="194"/>
  <c r="H21" i="194"/>
  <c r="H22" i="194"/>
  <c r="H18" i="194" s="1"/>
  <c r="H23" i="194"/>
  <c r="H24" i="194"/>
  <c r="H25" i="194"/>
  <c r="H19" i="194"/>
  <c r="H17" i="194"/>
  <c r="H15" i="194" s="1"/>
  <c r="H16" i="194"/>
  <c r="I18" i="194"/>
  <c r="J18" i="194"/>
  <c r="G18" i="194"/>
  <c r="I30" i="194"/>
  <c r="I27" i="194"/>
  <c r="J27" i="194"/>
  <c r="I15" i="194"/>
  <c r="J15" i="194"/>
  <c r="J10" i="194"/>
  <c r="H7" i="194"/>
  <c r="I7" i="194"/>
  <c r="J7" i="194"/>
  <c r="N48" i="41" l="1"/>
  <c r="J38" i="41"/>
  <c r="N38" i="41" s="1"/>
  <c r="K48" i="41"/>
  <c r="O38" i="41"/>
  <c r="O48" i="41" s="1"/>
  <c r="J48" i="41"/>
  <c r="H42" i="194"/>
  <c r="H53" i="194" s="1"/>
  <c r="H59" i="194" s="1"/>
  <c r="I42" i="194"/>
  <c r="I53" i="194" s="1"/>
  <c r="I59" i="194" s="1"/>
  <c r="J40" i="194"/>
  <c r="I26" i="194"/>
  <c r="H26" i="194"/>
  <c r="I10" i="194"/>
  <c r="H10" i="194"/>
  <c r="H40" i="194" l="1"/>
  <c r="I40" i="194"/>
  <c r="G51" i="190" l="1"/>
  <c r="G46" i="190"/>
  <c r="G50" i="190"/>
  <c r="G45" i="190"/>
  <c r="G54" i="190"/>
  <c r="G43" i="190"/>
  <c r="G42" i="190"/>
  <c r="G52" i="190"/>
  <c r="G58" i="190"/>
  <c r="G57" i="190"/>
  <c r="G49" i="190"/>
  <c r="G47" i="190"/>
  <c r="G48" i="190"/>
  <c r="G36" i="190"/>
  <c r="E60" i="190"/>
  <c r="F60" i="190"/>
  <c r="E59" i="190"/>
  <c r="F59" i="190"/>
  <c r="E40" i="190"/>
  <c r="F40" i="190"/>
  <c r="E37" i="190"/>
  <c r="F37" i="190"/>
  <c r="G37" i="190"/>
  <c r="E35" i="190"/>
  <c r="F35" i="190"/>
  <c r="G35" i="190"/>
  <c r="E31" i="190"/>
  <c r="F31" i="190"/>
  <c r="G31" i="190"/>
  <c r="E29" i="190"/>
  <c r="F29" i="190"/>
  <c r="G29" i="190"/>
  <c r="F50" i="190"/>
  <c r="F47" i="190"/>
  <c r="E32" i="190"/>
  <c r="F32" i="190"/>
  <c r="G32" i="190"/>
  <c r="G24" i="190"/>
  <c r="G21" i="190" s="1"/>
  <c r="E27" i="190"/>
  <c r="F27" i="190"/>
  <c r="E21" i="190"/>
  <c r="F21" i="190"/>
  <c r="E13" i="190"/>
  <c r="F13" i="190"/>
  <c r="G13" i="190"/>
  <c r="E11" i="190"/>
  <c r="F11" i="190"/>
  <c r="G11" i="190"/>
  <c r="G40" i="190" l="1"/>
  <c r="G59" i="190" s="1"/>
  <c r="G60" i="190" s="1"/>
  <c r="G27" i="190"/>
  <c r="E26" i="197"/>
  <c r="F26" i="197"/>
  <c r="D21" i="197"/>
  <c r="F32" i="197"/>
  <c r="F33" i="197" s="1"/>
  <c r="F35" i="197" s="1"/>
  <c r="E20" i="197"/>
  <c r="F20" i="197"/>
  <c r="E19" i="196"/>
  <c r="E27" i="196" s="1"/>
  <c r="F19" i="196"/>
  <c r="F27" i="196" s="1"/>
  <c r="E19" i="197"/>
  <c r="F19" i="197"/>
  <c r="D15" i="197"/>
  <c r="D14" i="197"/>
  <c r="E18" i="196"/>
  <c r="E28" i="196" s="1"/>
  <c r="E30" i="196" s="1"/>
  <c r="F18" i="196"/>
  <c r="D8" i="196"/>
  <c r="F28" i="196" l="1"/>
  <c r="F30" i="196" s="1"/>
  <c r="E32" i="197"/>
  <c r="E33" i="197" s="1"/>
  <c r="E35" i="197" s="1"/>
  <c r="F28" i="201"/>
  <c r="K21" i="201"/>
  <c r="K16" i="201"/>
  <c r="K29" i="201" s="1"/>
  <c r="K8" i="201"/>
  <c r="K28" i="201"/>
  <c r="F21" i="201"/>
  <c r="F16" i="201"/>
  <c r="F8" i="201"/>
  <c r="F29" i="201" s="1"/>
  <c r="F38" i="202"/>
  <c r="I37" i="202"/>
  <c r="K32" i="202"/>
  <c r="F32" i="202"/>
  <c r="F21" i="202"/>
  <c r="F23" i="202" s="1"/>
  <c r="F15" i="202"/>
  <c r="F10" i="202"/>
  <c r="F37" i="41"/>
  <c r="G37" i="41"/>
  <c r="H37" i="41"/>
  <c r="E37" i="41"/>
  <c r="F36" i="41"/>
  <c r="H33" i="41"/>
  <c r="G19" i="5"/>
  <c r="H19" i="5"/>
  <c r="P19" i="5" s="1"/>
  <c r="E19" i="5"/>
  <c r="F16" i="202" l="1"/>
  <c r="K9" i="41"/>
  <c r="L9" i="41"/>
  <c r="J6" i="41"/>
  <c r="J7" i="41"/>
  <c r="J8" i="41"/>
  <c r="J5" i="41"/>
  <c r="J9" i="41" s="1"/>
  <c r="G30" i="5"/>
  <c r="H30" i="5"/>
  <c r="F29" i="5"/>
  <c r="F28" i="5"/>
  <c r="G26" i="5"/>
  <c r="H26" i="5"/>
  <c r="P26" i="5" s="1"/>
  <c r="F25" i="5"/>
  <c r="N25" i="5" s="1"/>
  <c r="F24" i="5"/>
  <c r="N24" i="5" s="1"/>
  <c r="F23" i="5"/>
  <c r="N23" i="5" s="1"/>
  <c r="E22" i="5"/>
  <c r="M22" i="5" s="1"/>
  <c r="F18" i="5"/>
  <c r="N18" i="5" s="1"/>
  <c r="F17" i="5"/>
  <c r="F16" i="5"/>
  <c r="N16" i="5" s="1"/>
  <c r="F15" i="5"/>
  <c r="N15" i="5" s="1"/>
  <c r="G14" i="5"/>
  <c r="H14" i="5"/>
  <c r="P14" i="5" s="1"/>
  <c r="F10" i="5"/>
  <c r="N10" i="5" s="1"/>
  <c r="F11" i="5"/>
  <c r="N11" i="5" s="1"/>
  <c r="F12" i="5"/>
  <c r="N12" i="5" s="1"/>
  <c r="F9" i="5"/>
  <c r="N9" i="5" s="1"/>
  <c r="F8" i="5"/>
  <c r="N8" i="5" s="1"/>
  <c r="G7" i="5"/>
  <c r="G27" i="5" s="1"/>
  <c r="H7" i="5"/>
  <c r="F6" i="5"/>
  <c r="N6" i="5" s="1"/>
  <c r="F5" i="5"/>
  <c r="F45" i="41"/>
  <c r="F43" i="41"/>
  <c r="F41" i="41"/>
  <c r="F42" i="41" s="1"/>
  <c r="F44" i="41"/>
  <c r="G44" i="41"/>
  <c r="H44" i="41"/>
  <c r="G42" i="41"/>
  <c r="H42" i="41"/>
  <c r="G40" i="41"/>
  <c r="H40" i="41"/>
  <c r="F35" i="41"/>
  <c r="G33" i="41"/>
  <c r="F34" i="41"/>
  <c r="F32" i="41"/>
  <c r="F33" i="41" s="1"/>
  <c r="G31" i="41"/>
  <c r="H31" i="41"/>
  <c r="F24" i="41"/>
  <c r="F25" i="41"/>
  <c r="F26" i="41"/>
  <c r="F27" i="41"/>
  <c r="F28" i="41"/>
  <c r="F29" i="41"/>
  <c r="F30" i="41"/>
  <c r="F23" i="41"/>
  <c r="H22" i="41"/>
  <c r="F21" i="41"/>
  <c r="G20" i="41"/>
  <c r="G22" i="41" s="1"/>
  <c r="H20" i="41"/>
  <c r="F18" i="41"/>
  <c r="F19" i="41"/>
  <c r="F17" i="41"/>
  <c r="F16" i="41"/>
  <c r="G14" i="41"/>
  <c r="H14" i="41"/>
  <c r="F11" i="41"/>
  <c r="F12" i="41"/>
  <c r="F13" i="41"/>
  <c r="F10" i="41"/>
  <c r="G9" i="41"/>
  <c r="H9" i="41"/>
  <c r="F6" i="41"/>
  <c r="F8" i="41"/>
  <c r="F5" i="41"/>
  <c r="N17" i="5" l="1"/>
  <c r="F19" i="5"/>
  <c r="N19" i="5" s="1"/>
  <c r="F22" i="5"/>
  <c r="N22" i="5" s="1"/>
  <c r="H27" i="5"/>
  <c r="H31" i="5" s="1"/>
  <c r="P7" i="5"/>
  <c r="P27" i="5" s="1"/>
  <c r="P31" i="5" s="1"/>
  <c r="F7" i="5"/>
  <c r="N7" i="5" s="1"/>
  <c r="N5" i="5"/>
  <c r="F26" i="5"/>
  <c r="N26" i="5" s="1"/>
  <c r="H47" i="41"/>
  <c r="G47" i="41"/>
  <c r="G15" i="41"/>
  <c r="F20" i="41"/>
  <c r="F31" i="41"/>
  <c r="F22" i="41"/>
  <c r="G38" i="41"/>
  <c r="H15" i="41"/>
  <c r="H38" i="41" s="1"/>
  <c r="F14" i="41"/>
  <c r="F30" i="5"/>
  <c r="N30" i="5" s="1"/>
  <c r="G31" i="5"/>
  <c r="G34" i="194"/>
  <c r="G17" i="194"/>
  <c r="H48" i="41" l="1"/>
  <c r="G48" i="41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J18" i="197"/>
  <c r="G35" i="197"/>
  <c r="G24" i="197"/>
  <c r="G20" i="197" s="1"/>
  <c r="G32" i="197" s="1"/>
  <c r="C24" i="197"/>
  <c r="D24" i="197" s="1"/>
  <c r="D20" i="197" s="1"/>
  <c r="C21" i="197"/>
  <c r="C17" i="197"/>
  <c r="D17" i="197" s="1"/>
  <c r="C16" i="197"/>
  <c r="D16" i="197" s="1"/>
  <c r="C6" i="197"/>
  <c r="M25" i="196"/>
  <c r="M26" i="196"/>
  <c r="M14" i="196"/>
  <c r="M9" i="196"/>
  <c r="M7" i="196"/>
  <c r="C24" i="196"/>
  <c r="G24" i="196"/>
  <c r="C23" i="196"/>
  <c r="G20" i="196"/>
  <c r="H20" i="196" s="1"/>
  <c r="G8" i="196"/>
  <c r="C7" i="195"/>
  <c r="D19" i="197" l="1"/>
  <c r="C20" i="197"/>
  <c r="C20" i="196"/>
  <c r="M27" i="196"/>
  <c r="C19" i="197"/>
  <c r="G47" i="194"/>
  <c r="G32" i="194"/>
  <c r="C19" i="196" l="1"/>
  <c r="C27" i="196" s="1"/>
  <c r="D20" i="196"/>
  <c r="D19" i="196" s="1"/>
  <c r="D27" i="196" s="1"/>
  <c r="J8" i="197"/>
  <c r="E21" i="5"/>
  <c r="J6" i="197" l="1"/>
  <c r="C36" i="197" s="1"/>
  <c r="M21" i="5"/>
  <c r="F21" i="5"/>
  <c r="N21" i="5" s="1"/>
  <c r="J33" i="197"/>
  <c r="I48" i="190"/>
  <c r="J36" i="197" l="1"/>
  <c r="J37" i="197"/>
  <c r="J35" i="197"/>
  <c r="C37" i="197"/>
  <c r="J10" i="200"/>
  <c r="J11" i="200"/>
  <c r="E13" i="5" l="1"/>
  <c r="E39" i="41"/>
  <c r="M13" i="5" l="1"/>
  <c r="F13" i="5"/>
  <c r="C27" i="197"/>
  <c r="F39" i="41"/>
  <c r="F40" i="41" s="1"/>
  <c r="F47" i="41" s="1"/>
  <c r="E20" i="5"/>
  <c r="E14" i="5"/>
  <c r="E26" i="202"/>
  <c r="C26" i="197" l="1"/>
  <c r="C32" i="197" s="1"/>
  <c r="C33" i="197" s="1"/>
  <c r="C35" i="197" s="1"/>
  <c r="D27" i="197"/>
  <c r="D26" i="197" s="1"/>
  <c r="D32" i="197" s="1"/>
  <c r="D33" i="197" s="1"/>
  <c r="D35" i="197" s="1"/>
  <c r="N13" i="5"/>
  <c r="F14" i="5"/>
  <c r="M8" i="196"/>
  <c r="M11" i="196"/>
  <c r="M20" i="5"/>
  <c r="F20" i="5"/>
  <c r="N20" i="5" s="1"/>
  <c r="E28" i="202"/>
  <c r="J24" i="202"/>
  <c r="E24" i="202"/>
  <c r="G25" i="202"/>
  <c r="E25" i="202"/>
  <c r="G46" i="202"/>
  <c r="G44" i="202"/>
  <c r="G42" i="202"/>
  <c r="G40" i="202"/>
  <c r="G36" i="202"/>
  <c r="G35" i="202"/>
  <c r="G33" i="202"/>
  <c r="G31" i="202"/>
  <c r="G30" i="202"/>
  <c r="G29" i="202"/>
  <c r="G28" i="202"/>
  <c r="G27" i="202"/>
  <c r="G26" i="202"/>
  <c r="G24" i="202"/>
  <c r="G22" i="202"/>
  <c r="G20" i="202"/>
  <c r="G19" i="202"/>
  <c r="G18" i="202"/>
  <c r="G17" i="202"/>
  <c r="G14" i="202"/>
  <c r="G13" i="202"/>
  <c r="G12" i="202"/>
  <c r="G11" i="202"/>
  <c r="G9" i="202"/>
  <c r="G8" i="202"/>
  <c r="G7" i="202"/>
  <c r="G6" i="202"/>
  <c r="E44" i="202"/>
  <c r="E42" i="202"/>
  <c r="E40" i="202"/>
  <c r="E36" i="202"/>
  <c r="I36" i="202" s="1"/>
  <c r="E35" i="202"/>
  <c r="E38" i="202" s="1"/>
  <c r="E33" i="202"/>
  <c r="E31" i="202"/>
  <c r="E30" i="202"/>
  <c r="E29" i="202"/>
  <c r="E27" i="202"/>
  <c r="E22" i="202"/>
  <c r="E20" i="202"/>
  <c r="E19" i="202"/>
  <c r="E18" i="202"/>
  <c r="E17" i="202"/>
  <c r="E14" i="202"/>
  <c r="E13" i="202"/>
  <c r="E12" i="202"/>
  <c r="E11" i="202"/>
  <c r="E9" i="202"/>
  <c r="E7" i="202"/>
  <c r="E6" i="202"/>
  <c r="E22" i="201"/>
  <c r="E7" i="41"/>
  <c r="E26" i="201"/>
  <c r="G12" i="201"/>
  <c r="E20" i="201"/>
  <c r="E12" i="201"/>
  <c r="G31" i="201"/>
  <c r="E31" i="201"/>
  <c r="G30" i="201"/>
  <c r="E30" i="201"/>
  <c r="G27" i="201"/>
  <c r="E27" i="201"/>
  <c r="G26" i="201"/>
  <c r="G25" i="201"/>
  <c r="E25" i="201"/>
  <c r="G24" i="201"/>
  <c r="E24" i="201"/>
  <c r="G23" i="201"/>
  <c r="E23" i="201"/>
  <c r="G22" i="201"/>
  <c r="G20" i="201"/>
  <c r="G19" i="201"/>
  <c r="E19" i="201"/>
  <c r="G18" i="201"/>
  <c r="E18" i="201"/>
  <c r="G17" i="201"/>
  <c r="E17" i="201"/>
  <c r="G15" i="201"/>
  <c r="E15" i="201"/>
  <c r="G14" i="201"/>
  <c r="E14" i="201"/>
  <c r="G11" i="201"/>
  <c r="E11" i="201"/>
  <c r="G10" i="201"/>
  <c r="E10" i="201"/>
  <c r="G9" i="201"/>
  <c r="E9" i="201"/>
  <c r="G7" i="201"/>
  <c r="E7" i="201"/>
  <c r="G6" i="201"/>
  <c r="E6" i="201"/>
  <c r="E7" i="5"/>
  <c r="E30" i="5"/>
  <c r="M6" i="196" l="1"/>
  <c r="F27" i="5"/>
  <c r="F31" i="5" s="1"/>
  <c r="N14" i="5"/>
  <c r="N27" i="5" s="1"/>
  <c r="N31" i="5" s="1"/>
  <c r="I35" i="202"/>
  <c r="E8" i="202"/>
  <c r="E10" i="202" s="1"/>
  <c r="F7" i="41"/>
  <c r="F9" i="41" s="1"/>
  <c r="F15" i="41" s="1"/>
  <c r="F38" i="41" s="1"/>
  <c r="F48" i="41" s="1"/>
  <c r="Q32" i="201"/>
  <c r="O32" i="201"/>
  <c r="L32" i="201"/>
  <c r="J32" i="201"/>
  <c r="G32" i="201"/>
  <c r="E32" i="201"/>
  <c r="S31" i="201"/>
  <c r="N31" i="201"/>
  <c r="I31" i="201"/>
  <c r="S30" i="201"/>
  <c r="N30" i="201"/>
  <c r="I30" i="201"/>
  <c r="Q28" i="201"/>
  <c r="O28" i="201"/>
  <c r="L28" i="201"/>
  <c r="J28" i="201"/>
  <c r="G28" i="201"/>
  <c r="E28" i="201"/>
  <c r="S27" i="201"/>
  <c r="N27" i="201"/>
  <c r="N26" i="201"/>
  <c r="T26" i="201" s="1"/>
  <c r="S25" i="201"/>
  <c r="N25" i="201"/>
  <c r="S24" i="201"/>
  <c r="N24" i="201"/>
  <c r="S23" i="201"/>
  <c r="N23" i="201"/>
  <c r="S22" i="201"/>
  <c r="N22" i="201"/>
  <c r="Q21" i="201"/>
  <c r="O21" i="201"/>
  <c r="L21" i="201"/>
  <c r="J21" i="201"/>
  <c r="G21" i="201"/>
  <c r="E21" i="201"/>
  <c r="S19" i="201"/>
  <c r="S18" i="201"/>
  <c r="S17" i="201"/>
  <c r="Q16" i="201"/>
  <c r="O16" i="201"/>
  <c r="L16" i="201"/>
  <c r="J16" i="201"/>
  <c r="G16" i="201"/>
  <c r="E16" i="201"/>
  <c r="S15" i="201"/>
  <c r="S14" i="201"/>
  <c r="S13" i="201"/>
  <c r="S12" i="201"/>
  <c r="S11" i="201"/>
  <c r="N11" i="201"/>
  <c r="S10" i="201"/>
  <c r="N10" i="201"/>
  <c r="S9" i="201"/>
  <c r="N9" i="201"/>
  <c r="I9" i="201"/>
  <c r="Q8" i="201"/>
  <c r="O8" i="201"/>
  <c r="L8" i="201"/>
  <c r="J8" i="201"/>
  <c r="G8" i="201"/>
  <c r="E8" i="201"/>
  <c r="S7" i="201"/>
  <c r="N7" i="201"/>
  <c r="S6" i="201"/>
  <c r="N6" i="201"/>
  <c r="Q47" i="202"/>
  <c r="O47" i="202"/>
  <c r="L47" i="202"/>
  <c r="J47" i="202"/>
  <c r="E47" i="202"/>
  <c r="S46" i="202"/>
  <c r="S47" i="202" s="1"/>
  <c r="N46" i="202"/>
  <c r="N47" i="202" s="1"/>
  <c r="I46" i="202"/>
  <c r="I47" i="202" s="1"/>
  <c r="Q45" i="202"/>
  <c r="O45" i="202"/>
  <c r="L45" i="202"/>
  <c r="J45" i="202"/>
  <c r="E45" i="202"/>
  <c r="S44" i="202"/>
  <c r="S45" i="202" s="1"/>
  <c r="N44" i="202"/>
  <c r="N45" i="202" s="1"/>
  <c r="I44" i="202"/>
  <c r="I45" i="202" s="1"/>
  <c r="Q43" i="202"/>
  <c r="O43" i="202"/>
  <c r="L43" i="202"/>
  <c r="J43" i="202"/>
  <c r="E43" i="202"/>
  <c r="S42" i="202"/>
  <c r="S43" i="202" s="1"/>
  <c r="N42" i="202"/>
  <c r="N43" i="202" s="1"/>
  <c r="I42" i="202"/>
  <c r="Q41" i="202"/>
  <c r="O41" i="202"/>
  <c r="L41" i="202"/>
  <c r="J41" i="202"/>
  <c r="E41" i="202"/>
  <c r="S40" i="202"/>
  <c r="S41" i="202" s="1"/>
  <c r="N40" i="202"/>
  <c r="I40" i="202"/>
  <c r="I41" i="202" s="1"/>
  <c r="Q38" i="202"/>
  <c r="O38" i="202"/>
  <c r="L38" i="202"/>
  <c r="J38" i="202"/>
  <c r="S36" i="202"/>
  <c r="N36" i="202"/>
  <c r="S35" i="202"/>
  <c r="N35" i="202"/>
  <c r="Q34" i="202"/>
  <c r="O34" i="202"/>
  <c r="J34" i="202"/>
  <c r="G34" i="202"/>
  <c r="E34" i="202"/>
  <c r="S33" i="202"/>
  <c r="S34" i="202" s="1"/>
  <c r="N33" i="202"/>
  <c r="N34" i="202" s="1"/>
  <c r="I33" i="202"/>
  <c r="I34" i="202" s="1"/>
  <c r="Q32" i="202"/>
  <c r="O32" i="202"/>
  <c r="L32" i="202"/>
  <c r="J32" i="202"/>
  <c r="G32" i="202"/>
  <c r="E32" i="202"/>
  <c r="S31" i="202"/>
  <c r="S30" i="202"/>
  <c r="S29" i="202"/>
  <c r="S28" i="202"/>
  <c r="S27" i="202"/>
  <c r="S26" i="202"/>
  <c r="S25" i="202"/>
  <c r="S24" i="202"/>
  <c r="S22" i="202"/>
  <c r="N22" i="202"/>
  <c r="I22" i="202"/>
  <c r="Q21" i="202"/>
  <c r="Q23" i="202" s="1"/>
  <c r="O21" i="202"/>
  <c r="O23" i="202" s="1"/>
  <c r="L21" i="202"/>
  <c r="L23" i="202" s="1"/>
  <c r="J21" i="202"/>
  <c r="J23" i="202" s="1"/>
  <c r="E21" i="202"/>
  <c r="E23" i="202" s="1"/>
  <c r="S20" i="202"/>
  <c r="N20" i="202"/>
  <c r="S19" i="202"/>
  <c r="N19" i="202"/>
  <c r="S18" i="202"/>
  <c r="N18" i="202"/>
  <c r="S17" i="202"/>
  <c r="N17" i="202"/>
  <c r="I17" i="202"/>
  <c r="Q15" i="202"/>
  <c r="O15" i="202"/>
  <c r="L15" i="202"/>
  <c r="J15" i="202"/>
  <c r="G15" i="202"/>
  <c r="E15" i="202"/>
  <c r="S14" i="202"/>
  <c r="N14" i="202"/>
  <c r="S13" i="202"/>
  <c r="N13" i="202"/>
  <c r="S12" i="202"/>
  <c r="N12" i="202"/>
  <c r="S11" i="202"/>
  <c r="N11" i="202"/>
  <c r="Q10" i="202"/>
  <c r="O10" i="202"/>
  <c r="L10" i="202"/>
  <c r="J10" i="202"/>
  <c r="G10" i="202"/>
  <c r="S9" i="202"/>
  <c r="N9" i="202"/>
  <c r="S8" i="202"/>
  <c r="N8" i="202"/>
  <c r="S7" i="202"/>
  <c r="N7" i="202"/>
  <c r="S6" i="202"/>
  <c r="N6" i="202"/>
  <c r="S38" i="202" l="1"/>
  <c r="T8" i="202"/>
  <c r="S21" i="201"/>
  <c r="T35" i="202"/>
  <c r="Q16" i="202"/>
  <c r="Q39" i="202" s="1"/>
  <c r="T18" i="201"/>
  <c r="T15" i="201"/>
  <c r="T22" i="201"/>
  <c r="S8" i="201"/>
  <c r="O29" i="201"/>
  <c r="O33" i="201" s="1"/>
  <c r="T11" i="201"/>
  <c r="T7" i="201"/>
  <c r="T14" i="201"/>
  <c r="N8" i="201"/>
  <c r="T13" i="201"/>
  <c r="J16" i="202"/>
  <c r="J39" i="202" s="1"/>
  <c r="T24" i="202"/>
  <c r="T28" i="202"/>
  <c r="T42" i="202"/>
  <c r="T43" i="202" s="1"/>
  <c r="N28" i="201"/>
  <c r="O48" i="202"/>
  <c r="N21" i="201"/>
  <c r="T23" i="201"/>
  <c r="S28" i="201"/>
  <c r="S21" i="202"/>
  <c r="S23" i="202" s="1"/>
  <c r="T7" i="202"/>
  <c r="T14" i="202"/>
  <c r="S32" i="202"/>
  <c r="S16" i="201"/>
  <c r="T25" i="202"/>
  <c r="E48" i="202"/>
  <c r="T29" i="202"/>
  <c r="I15" i="202"/>
  <c r="T27" i="201"/>
  <c r="I28" i="201"/>
  <c r="E29" i="201"/>
  <c r="E33" i="201" s="1"/>
  <c r="T9" i="201"/>
  <c r="N10" i="202"/>
  <c r="S10" i="202"/>
  <c r="T9" i="202"/>
  <c r="T12" i="202"/>
  <c r="T13" i="202"/>
  <c r="L16" i="202"/>
  <c r="T17" i="202"/>
  <c r="T18" i="202"/>
  <c r="T33" i="202"/>
  <c r="T34" i="202" s="1"/>
  <c r="T40" i="202"/>
  <c r="T41" i="202" s="1"/>
  <c r="J29" i="201"/>
  <c r="J33" i="201" s="1"/>
  <c r="T10" i="201"/>
  <c r="T24" i="201"/>
  <c r="I32" i="201"/>
  <c r="T11" i="202"/>
  <c r="G16" i="202"/>
  <c r="I21" i="202"/>
  <c r="I23" i="202" s="1"/>
  <c r="T20" i="202"/>
  <c r="T36" i="202"/>
  <c r="J48" i="202"/>
  <c r="T19" i="201"/>
  <c r="T20" i="201"/>
  <c r="N32" i="201"/>
  <c r="T6" i="202"/>
  <c r="E16" i="202"/>
  <c r="E39" i="202" s="1"/>
  <c r="O16" i="202"/>
  <c r="O39" i="202" s="1"/>
  <c r="S15" i="202"/>
  <c r="S16" i="202" s="1"/>
  <c r="T22" i="202"/>
  <c r="T26" i="202"/>
  <c r="T27" i="202"/>
  <c r="T30" i="202"/>
  <c r="T31" i="202"/>
  <c r="I43" i="202"/>
  <c r="I48" i="202" s="1"/>
  <c r="Q48" i="202"/>
  <c r="T6" i="201"/>
  <c r="Q29" i="201"/>
  <c r="Q33" i="201" s="1"/>
  <c r="L29" i="201"/>
  <c r="L33" i="201" s="1"/>
  <c r="T17" i="201"/>
  <c r="T30" i="201"/>
  <c r="T12" i="201"/>
  <c r="N16" i="201"/>
  <c r="G29" i="201"/>
  <c r="I16" i="201"/>
  <c r="T25" i="201"/>
  <c r="I8" i="201"/>
  <c r="T31" i="201"/>
  <c r="S32" i="201"/>
  <c r="S48" i="202"/>
  <c r="N15" i="202"/>
  <c r="T46" i="202"/>
  <c r="T47" i="202" s="1"/>
  <c r="I32" i="202"/>
  <c r="T19" i="202"/>
  <c r="T44" i="202"/>
  <c r="T45" i="202" s="1"/>
  <c r="I10" i="202"/>
  <c r="N21" i="202"/>
  <c r="N23" i="202" s="1"/>
  <c r="N32" i="202"/>
  <c r="N38" i="202"/>
  <c r="N41" i="202"/>
  <c r="S29" i="201" l="1"/>
  <c r="O49" i="202"/>
  <c r="T38" i="202"/>
  <c r="Q49" i="202"/>
  <c r="J49" i="202"/>
  <c r="T8" i="201"/>
  <c r="T28" i="201"/>
  <c r="N16" i="202"/>
  <c r="N39" i="202" s="1"/>
  <c r="N49" i="202" s="1"/>
  <c r="T10" i="202"/>
  <c r="N29" i="201"/>
  <c r="N33" i="201" s="1"/>
  <c r="S39" i="202"/>
  <c r="S49" i="202" s="1"/>
  <c r="E49" i="202"/>
  <c r="T48" i="202"/>
  <c r="T32" i="202"/>
  <c r="T21" i="202"/>
  <c r="T23" i="202" s="1"/>
  <c r="T15" i="202"/>
  <c r="I16" i="202"/>
  <c r="T16" i="201"/>
  <c r="T21" i="201"/>
  <c r="T32" i="201"/>
  <c r="I29" i="201"/>
  <c r="I33" i="201" s="1"/>
  <c r="S33" i="201"/>
  <c r="G46" i="194"/>
  <c r="G30" i="194"/>
  <c r="T16" i="202" l="1"/>
  <c r="T39" i="202" s="1"/>
  <c r="T49" i="202" s="1"/>
  <c r="T29" i="201"/>
  <c r="T33" i="201" s="1"/>
  <c r="J19" i="200"/>
  <c r="J18" i="200"/>
  <c r="I17" i="200"/>
  <c r="H17" i="200"/>
  <c r="G17" i="200"/>
  <c r="F17" i="200"/>
  <c r="E17" i="200"/>
  <c r="D17" i="200"/>
  <c r="D15" i="200"/>
  <c r="J14" i="200"/>
  <c r="J13" i="200"/>
  <c r="I12" i="200"/>
  <c r="H12" i="200"/>
  <c r="G12" i="200"/>
  <c r="F12" i="200"/>
  <c r="E12" i="200"/>
  <c r="D12" i="200"/>
  <c r="H9" i="200"/>
  <c r="H16" i="200" s="1"/>
  <c r="H15" i="200" s="1"/>
  <c r="G9" i="200"/>
  <c r="G16" i="200" s="1"/>
  <c r="G15" i="200" s="1"/>
  <c r="F9" i="200"/>
  <c r="E9" i="200"/>
  <c r="E16" i="200" s="1"/>
  <c r="E15" i="200" s="1"/>
  <c r="D9" i="200"/>
  <c r="J8" i="200"/>
  <c r="J7" i="200"/>
  <c r="I6" i="200"/>
  <c r="H6" i="200"/>
  <c r="G6" i="200"/>
  <c r="F6" i="200"/>
  <c r="F20" i="200" s="1"/>
  <c r="E6" i="200"/>
  <c r="D6" i="200"/>
  <c r="F16" i="200" l="1"/>
  <c r="F15" i="200" s="1"/>
  <c r="G20" i="200"/>
  <c r="D20" i="200"/>
  <c r="J12" i="200"/>
  <c r="H20" i="200"/>
  <c r="E20" i="200"/>
  <c r="J17" i="200"/>
  <c r="J6" i="200"/>
  <c r="K23" i="196"/>
  <c r="G23" i="196" s="1"/>
  <c r="H23" i="196" s="1"/>
  <c r="H19" i="196" s="1"/>
  <c r="H27" i="196" s="1"/>
  <c r="G19" i="196" l="1"/>
  <c r="G27" i="196" s="1"/>
  <c r="H16" i="197"/>
  <c r="G16" i="197" s="1"/>
  <c r="G15" i="194"/>
  <c r="I58" i="190" l="1"/>
  <c r="I19" i="5"/>
  <c r="M19" i="5" s="1"/>
  <c r="M10" i="196"/>
  <c r="M18" i="196" s="1"/>
  <c r="M32" i="196" l="1"/>
  <c r="M28" i="196"/>
  <c r="U10" i="196"/>
  <c r="Q10" i="196" s="1"/>
  <c r="D40" i="190"/>
  <c r="M30" i="196" l="1"/>
  <c r="I40" i="41"/>
  <c r="E40" i="41"/>
  <c r="I29" i="190" l="1"/>
  <c r="I31" i="190" s="1"/>
  <c r="K19" i="196"/>
  <c r="U7" i="196"/>
  <c r="Q7" i="196" s="1"/>
  <c r="U9" i="196"/>
  <c r="Q9" i="196" s="1"/>
  <c r="U14" i="196"/>
  <c r="Q14" i="196" s="1"/>
  <c r="O6" i="197"/>
  <c r="N6" i="197" s="1"/>
  <c r="O8" i="197"/>
  <c r="N8" i="197" s="1"/>
  <c r="U26" i="196"/>
  <c r="Q26" i="196" s="1"/>
  <c r="U25" i="196"/>
  <c r="I7" i="5"/>
  <c r="M7" i="5" s="1"/>
  <c r="I14" i="5"/>
  <c r="M14" i="5" s="1"/>
  <c r="I26" i="5"/>
  <c r="I30" i="5"/>
  <c r="M30" i="5" s="1"/>
  <c r="M46" i="41"/>
  <c r="I42" i="41"/>
  <c r="I44" i="41"/>
  <c r="E42" i="41"/>
  <c r="E44" i="41"/>
  <c r="E46" i="41"/>
  <c r="D13" i="198"/>
  <c r="E13" i="198" s="1"/>
  <c r="D11" i="198"/>
  <c r="E11" i="198" s="1"/>
  <c r="D12" i="198"/>
  <c r="E12" i="198" s="1"/>
  <c r="I9" i="41"/>
  <c r="E9" i="41"/>
  <c r="C9" i="196" s="1"/>
  <c r="D9" i="196" s="1"/>
  <c r="I14" i="41"/>
  <c r="E14" i="41"/>
  <c r="C10" i="196" s="1"/>
  <c r="D10" i="196" s="1"/>
  <c r="I20" i="41"/>
  <c r="I31" i="41"/>
  <c r="I33" i="41"/>
  <c r="I37" i="41"/>
  <c r="E26" i="5"/>
  <c r="E20" i="41"/>
  <c r="E22" i="41" s="1"/>
  <c r="C6" i="196" s="1"/>
  <c r="D6" i="196" s="1"/>
  <c r="E31" i="41"/>
  <c r="C7" i="196" s="1"/>
  <c r="D7" i="196" s="1"/>
  <c r="E33" i="41"/>
  <c r="I22" i="190"/>
  <c r="I23" i="190"/>
  <c r="I19" i="190"/>
  <c r="I14" i="190"/>
  <c r="I42" i="190"/>
  <c r="I43" i="190"/>
  <c r="I44" i="190"/>
  <c r="I45" i="190"/>
  <c r="I46" i="190"/>
  <c r="I47" i="190"/>
  <c r="I49" i="190"/>
  <c r="I50" i="190"/>
  <c r="I51" i="190"/>
  <c r="I52" i="190"/>
  <c r="I53" i="190"/>
  <c r="I54" i="190"/>
  <c r="I55" i="190"/>
  <c r="I56" i="190"/>
  <c r="I57" i="190"/>
  <c r="I41" i="190"/>
  <c r="H40" i="190"/>
  <c r="I40" i="190" s="1"/>
  <c r="I38" i="190"/>
  <c r="H37" i="190"/>
  <c r="I36" i="190"/>
  <c r="I35" i="190" s="1"/>
  <c r="I12" i="190"/>
  <c r="I11" i="190" s="1"/>
  <c r="I9" i="190"/>
  <c r="I8" i="190" s="1"/>
  <c r="I24" i="190"/>
  <c r="I25" i="190"/>
  <c r="I15" i="190"/>
  <c r="I16" i="190"/>
  <c r="I17" i="190"/>
  <c r="I18" i="190"/>
  <c r="H29" i="190"/>
  <c r="H31" i="190" s="1"/>
  <c r="H13" i="190"/>
  <c r="H21" i="190"/>
  <c r="H11" i="190"/>
  <c r="H8" i="190"/>
  <c r="H35" i="190"/>
  <c r="H26" i="197"/>
  <c r="K24" i="196"/>
  <c r="C23" i="195"/>
  <c r="D23" i="195"/>
  <c r="G7" i="194"/>
  <c r="G13" i="194"/>
  <c r="G27" i="194"/>
  <c r="G43" i="194"/>
  <c r="G49" i="194"/>
  <c r="D35" i="190"/>
  <c r="D37" i="190"/>
  <c r="D11" i="190"/>
  <c r="D13" i="190"/>
  <c r="D21" i="190"/>
  <c r="D29" i="190"/>
  <c r="D31" i="190" s="1"/>
  <c r="D8" i="190"/>
  <c r="D18" i="196" l="1"/>
  <c r="D28" i="196" s="1"/>
  <c r="D30" i="196" s="1"/>
  <c r="E27" i="5"/>
  <c r="E31" i="5" s="1"/>
  <c r="M26" i="5"/>
  <c r="C18" i="196"/>
  <c r="C28" i="196" s="1"/>
  <c r="C30" i="196" s="1"/>
  <c r="G10" i="194"/>
  <c r="O18" i="197"/>
  <c r="N18" i="197" s="1"/>
  <c r="N19" i="197" s="1"/>
  <c r="G55" i="194"/>
  <c r="G57" i="194" s="1"/>
  <c r="D59" i="190"/>
  <c r="U27" i="196"/>
  <c r="Q25" i="196"/>
  <c r="Q27" i="196" s="1"/>
  <c r="I37" i="190"/>
  <c r="I59" i="190" s="1"/>
  <c r="I22" i="41"/>
  <c r="G23" i="202"/>
  <c r="G39" i="202" s="1"/>
  <c r="H24" i="197"/>
  <c r="D10" i="198"/>
  <c r="U11" i="196"/>
  <c r="Q11" i="196" s="1"/>
  <c r="H6" i="197"/>
  <c r="G6" i="197" s="1"/>
  <c r="H17" i="197"/>
  <c r="G17" i="197" s="1"/>
  <c r="I27" i="5"/>
  <c r="K10" i="196"/>
  <c r="G10" i="196" s="1"/>
  <c r="I47" i="41"/>
  <c r="E47" i="41"/>
  <c r="G42" i="194"/>
  <c r="G26" i="194"/>
  <c r="H27" i="190"/>
  <c r="H32" i="190" s="1"/>
  <c r="I21" i="190"/>
  <c r="I13" i="190"/>
  <c r="K27" i="196"/>
  <c r="I15" i="41"/>
  <c r="K7" i="196"/>
  <c r="G7" i="196" s="1"/>
  <c r="H7" i="196" s="1"/>
  <c r="H18" i="196" s="1"/>
  <c r="H28" i="196" s="1"/>
  <c r="H30" i="196" s="1"/>
  <c r="E15" i="41"/>
  <c r="E38" i="41" s="1"/>
  <c r="H59" i="190"/>
  <c r="K6" i="196"/>
  <c r="G6" i="196" s="1"/>
  <c r="D27" i="190"/>
  <c r="D32" i="190" s="1"/>
  <c r="E23" i="195"/>
  <c r="K9" i="196"/>
  <c r="G9" i="196" s="1"/>
  <c r="U6" i="196"/>
  <c r="Q6" i="196" s="1"/>
  <c r="D14" i="198" l="1"/>
  <c r="D15" i="198" s="1"/>
  <c r="E10" i="198"/>
  <c r="E14" i="198" s="1"/>
  <c r="E15" i="198" s="1"/>
  <c r="D60" i="190"/>
  <c r="M47" i="41"/>
  <c r="O19" i="197"/>
  <c r="M31" i="196"/>
  <c r="C31" i="196"/>
  <c r="C32" i="196"/>
  <c r="G40" i="194"/>
  <c r="N37" i="197"/>
  <c r="N36" i="197"/>
  <c r="I38" i="41"/>
  <c r="I48" i="41" s="1"/>
  <c r="G53" i="194"/>
  <c r="G18" i="196"/>
  <c r="G19" i="197"/>
  <c r="H20" i="197"/>
  <c r="H32" i="197" s="1"/>
  <c r="U8" i="196"/>
  <c r="H19" i="197"/>
  <c r="H60" i="190"/>
  <c r="K18" i="196"/>
  <c r="K28" i="196" s="1"/>
  <c r="K30" i="196" s="1"/>
  <c r="M27" i="5"/>
  <c r="M31" i="5" s="1"/>
  <c r="I27" i="190"/>
  <c r="I32" i="190" s="1"/>
  <c r="I60" i="190" s="1"/>
  <c r="E48" i="41"/>
  <c r="H36" i="197" l="1"/>
  <c r="M48" i="41"/>
  <c r="O36" i="197"/>
  <c r="O33" i="197"/>
  <c r="O35" i="197" s="1"/>
  <c r="O37" i="197"/>
  <c r="G59" i="194"/>
  <c r="U18" i="196"/>
  <c r="Q8" i="196"/>
  <c r="Q18" i="196" s="1"/>
  <c r="G33" i="197"/>
  <c r="G36" i="197"/>
  <c r="G37" i="197"/>
  <c r="G28" i="196"/>
  <c r="H33" i="197"/>
  <c r="H35" i="197" s="1"/>
  <c r="I31" i="5"/>
  <c r="H37" i="197" l="1"/>
  <c r="Q28" i="196"/>
  <c r="G31" i="196"/>
  <c r="Q31" i="196"/>
  <c r="Q32" i="196"/>
  <c r="K31" i="196"/>
  <c r="U32" i="196"/>
  <c r="U31" i="196"/>
  <c r="U28" i="196"/>
  <c r="K32" i="196" s="1"/>
  <c r="G30" i="196"/>
  <c r="I9" i="200"/>
  <c r="J9" i="200" s="1"/>
  <c r="U30" i="196" l="1"/>
  <c r="Q30" i="196"/>
  <c r="G32" i="196"/>
  <c r="J20" i="200"/>
  <c r="I16" i="200"/>
  <c r="I20" i="200"/>
  <c r="I15" i="200" l="1"/>
  <c r="J15" i="200" s="1"/>
  <c r="J16" i="200"/>
  <c r="I38" i="202"/>
  <c r="I39" i="202" s="1"/>
  <c r="I49" i="202" s="1"/>
</calcChain>
</file>

<file path=xl/sharedStrings.xml><?xml version="1.0" encoding="utf-8"?>
<sst xmlns="http://schemas.openxmlformats.org/spreadsheetml/2006/main" count="925" uniqueCount="445">
  <si>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</si>
  <si>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</si>
  <si>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</si>
  <si>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</si>
  <si>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</si>
  <si>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</si>
  <si>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</si>
  <si>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</si>
  <si>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</si>
  <si>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</si>
  <si>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</si>
  <si>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</si>
  <si>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</si>
  <si>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</si>
  <si>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</si>
  <si>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</si>
  <si>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</si>
  <si>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</si>
  <si>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</si>
  <si>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</si>
  <si>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</si>
  <si>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</si>
  <si>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</si>
  <si>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11.</t>
  </si>
  <si>
    <t>12.</t>
  </si>
  <si>
    <t>14.</t>
  </si>
  <si>
    <t>17.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</si>
  <si>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</si>
  <si>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</si>
  <si>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</si>
  <si>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</si>
  <si>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</si>
  <si>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</si>
  <si>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</si>
  <si>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</si>
  <si>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</si>
  <si>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</si>
  <si>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</si>
  <si>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</si>
  <si>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</si>
  <si>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</si>
  <si>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</si>
  <si>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Háztartásoknak nyújtott felhalm. célú támog. kölcs.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</si>
  <si>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</si>
  <si>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</si>
  <si>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</si>
  <si>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</si>
  <si>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</si>
  <si>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</si>
  <si>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</si>
  <si>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</si>
  <si>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</si>
  <si>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</si>
  <si>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</si>
  <si>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</si>
  <si>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</si>
  <si>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</si>
  <si>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</si>
  <si>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</si>
  <si>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</si>
  <si>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</si>
  <si>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</si>
  <si>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</si>
  <si>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</si>
  <si>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</si>
  <si>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</si>
  <si>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</si>
  <si>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</si>
  <si>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</si>
  <si>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</si>
  <si>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</si>
  <si>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</si>
  <si>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</si>
  <si>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</si>
  <si>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</si>
  <si>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</si>
  <si>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</si>
  <si>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</si>
  <si>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</si>
  <si>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</si>
  <si>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</si>
  <si>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</si>
  <si>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K64</t>
  </si>
  <si>
    <t>K71</t>
  </si>
  <si>
    <t>K711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</si>
  <si>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</si>
  <si>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</si>
  <si>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</si>
  <si>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</si>
  <si>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</si>
  <si>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</si>
  <si>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</si>
  <si>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</si>
  <si>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</si>
  <si>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</si>
  <si>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</si>
  <si>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</si>
  <si>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</si>
  <si>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</si>
  <si>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</si>
  <si>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</si>
  <si>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</si>
  <si>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</si>
  <si>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</si>
  <si>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</si>
  <si>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</si>
  <si>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</si>
  <si>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</si>
  <si>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</si>
  <si>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</si>
  <si>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</si>
  <si>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</si>
  <si>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</si>
  <si>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</si>
  <si>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</si>
  <si>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</si>
  <si>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</si>
  <si>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</si>
  <si>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</si>
  <si>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</si>
  <si>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</si>
  <si>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</si>
  <si>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</si>
  <si>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</si>
  <si>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</si>
  <si>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</si>
  <si>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</si>
  <si>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</si>
  <si>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</si>
  <si>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</si>
  <si>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</si>
  <si>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</si>
  <si>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</si>
  <si>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</si>
  <si>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</si>
  <si>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</si>
  <si>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</si>
  <si>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</si>
  <si>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</si>
  <si>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</si>
  <si>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</si>
  <si>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</si>
  <si>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</si>
  <si>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</si>
  <si>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</si>
  <si>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</si>
  <si>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</si>
  <si>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</si>
  <si>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</si>
  <si>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</si>
  <si>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</si>
  <si>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</si>
  <si>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</si>
  <si>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</si>
  <si>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</si>
  <si>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</si>
  <si>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</si>
  <si>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</si>
  <si>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</si>
  <si>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</si>
  <si>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</si>
  <si>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</si>
  <si>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</si>
  <si>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</si>
  <si>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</si>
  <si>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</si>
  <si>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</si>
  <si>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</si>
  <si>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</si>
  <si>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</si>
  <si>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</si>
  <si>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</si>
  <si>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</si>
  <si>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</si>
  <si>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</si>
  <si>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</si>
  <si>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</si>
  <si>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</si>
  <si>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</si>
  <si>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</si>
  <si>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</si>
  <si>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</si>
  <si>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</si>
  <si>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</si>
  <si>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</si>
  <si>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</si>
  <si>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</si>
  <si>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</si>
  <si>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</si>
  <si>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</si>
  <si>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</si>
  <si>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</si>
  <si>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</si>
  <si>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</si>
  <si>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</si>
  <si>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</si>
  <si>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</si>
  <si>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</si>
  <si>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</si>
  <si>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</si>
  <si>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Összesen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</si>
  <si>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</si>
  <si>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</si>
  <si>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</si>
  <si>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</si>
  <si>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</si>
  <si>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</si>
  <si>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</si>
  <si>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</si>
  <si>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 xml:space="preserve">Mikulásbirodalom Alapítvány  </t>
  </si>
  <si>
    <t>II. Rákóczi F. Alapítvány</t>
  </si>
  <si>
    <t>Gyöngyvirág Nyugdíjas Klub</t>
  </si>
  <si>
    <t>Pannon Kincse LEADER</t>
  </si>
  <si>
    <t>K63</t>
  </si>
  <si>
    <t xml:space="preserve">   Értékpapírok ért.bevétel 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</si>
  <si>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</si>
  <si>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</si>
  <si>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</si>
  <si>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</si>
  <si>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</si>
  <si>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</si>
  <si>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</si>
  <si>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</si>
  <si>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</si>
  <si>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</si>
  <si>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</si>
  <si>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</si>
  <si>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</si>
  <si>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</si>
  <si>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</si>
  <si>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</si>
  <si>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</si>
  <si>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</si>
  <si>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</si>
  <si>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</si>
  <si>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</si>
  <si>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</si>
  <si>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</si>
  <si>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</si>
  <si>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</si>
  <si>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</si>
  <si>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</si>
  <si>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</si>
  <si>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</si>
  <si>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</si>
  <si>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</si>
  <si>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</si>
  <si>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</si>
  <si>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</si>
  <si>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</si>
  <si>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</si>
  <si>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</si>
  <si>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</si>
  <si>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</si>
  <si>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</si>
  <si>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</si>
  <si>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</si>
  <si>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</si>
  <si>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</si>
  <si>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</si>
  <si>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</si>
  <si>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</si>
  <si>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</si>
  <si>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</si>
  <si>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</si>
  <si>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</si>
  <si>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</si>
  <si>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</si>
  <si>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</si>
  <si>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</si>
  <si>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</si>
  <si>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</si>
  <si>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</si>
  <si>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</si>
  <si>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</si>
  <si>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</si>
  <si>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</si>
  <si>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</si>
  <si>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Közös hivatal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</si>
  <si>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</si>
  <si>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</si>
  <si>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</si>
  <si>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</si>
  <si>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</si>
  <si>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</si>
  <si>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</si>
  <si>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</si>
  <si>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</si>
  <si>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</si>
  <si>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</si>
  <si>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</si>
  <si>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</si>
  <si>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</si>
  <si>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</si>
  <si>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</si>
  <si>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</si>
  <si>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</si>
  <si>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</si>
  <si>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</si>
  <si>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</si>
  <si>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</si>
  <si>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</si>
  <si>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</si>
  <si>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</si>
  <si>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</si>
  <si>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</si>
  <si>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</si>
  <si>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2021.</t>
  </si>
  <si>
    <t>2022.</t>
  </si>
  <si>
    <t>Rovat</t>
  </si>
  <si>
    <t>Kötelező feladatok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</si>
  <si>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</si>
  <si>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</si>
  <si>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</si>
  <si>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</si>
  <si>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</si>
  <si>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</si>
  <si>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</si>
  <si>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</si>
  <si>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</si>
  <si>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</si>
  <si>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</si>
  <si>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</si>
  <si>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</si>
  <si>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</si>
  <si>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</si>
  <si>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</si>
  <si>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</si>
  <si>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</si>
  <si>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</si>
  <si>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</si>
  <si>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</si>
  <si>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</si>
  <si>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</si>
  <si>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</si>
  <si>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</si>
  <si>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</si>
  <si>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</si>
  <si>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</si>
  <si>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</si>
  <si>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</si>
  <si>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</si>
  <si>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</si>
  <si>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</si>
  <si>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</si>
  <si>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</si>
  <si>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</si>
  <si>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</si>
  <si>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</si>
  <si>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</si>
  <si>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</si>
  <si>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</si>
  <si>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</si>
  <si>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</si>
  <si>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</si>
  <si>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</si>
  <si>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</si>
  <si>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</si>
  <si>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</si>
  <si>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</si>
  <si>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</si>
  <si>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</si>
  <si>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</si>
  <si>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</si>
  <si>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</si>
  <si>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</si>
  <si>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</si>
  <si>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</si>
  <si>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</si>
  <si>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Eredeti előirányzat 2020 év</t>
  </si>
  <si>
    <t>Eredeti előirányzat 2020. év</t>
  </si>
  <si>
    <t xml:space="preserve">Müködési c. támogatásértékű bevétel áh-n belül </t>
  </si>
  <si>
    <t>Egyéb felhalmozási célú támogatások Áh- n belül fejezeti kezelésű (pályázatok)</t>
  </si>
  <si>
    <t>Felhalmozási célú átvett pénzeszközök Áh-n belül és kívül</t>
  </si>
  <si>
    <t>2020. évi eredeti előirányzat</t>
  </si>
  <si>
    <t>ABDA KÖZSÉG ÖNKORMÁNYZATA 2020. ÉVI KÖLTSÉGVETÉSE</t>
  </si>
  <si>
    <t>2020. évi engedélyezett létszám</t>
  </si>
  <si>
    <t>Kötelezettség 2020.</t>
  </si>
  <si>
    <t>2023.</t>
  </si>
  <si>
    <t>2023. 
után</t>
  </si>
  <si>
    <t>Adatok Ft-ban</t>
  </si>
  <si>
    <t>I. Működési célú bevételek és kiadások mérlege</t>
  </si>
  <si>
    <t>II. Felhalmozási célú bevételek és kiadások mérlege</t>
  </si>
  <si>
    <t>Börcs  Önkorm.-nak védőnő 2019.évi elszámolás</t>
  </si>
  <si>
    <t xml:space="preserve">Ikrény Önkorm.-nak családsegítő 2019. évi elszámolás </t>
  </si>
  <si>
    <t>Arrabona EGTC 2020. évi tagdíj</t>
  </si>
  <si>
    <t xml:space="preserve">Ikrény Önkorm.-nak közös hiv. 2019. évi elszámolás </t>
  </si>
  <si>
    <t>Magyar Máltai Szeretetszolgálat</t>
  </si>
  <si>
    <t>Közös hiv. Abdának 2019. évi elszámolás</t>
  </si>
  <si>
    <t>LEADER pályázat -parkoló építés</t>
  </si>
  <si>
    <t xml:space="preserve">Orvosi rendelő rendelő mögé játszótér </t>
  </si>
  <si>
    <t>Sportpálya orvosi rendelő mögé</t>
  </si>
  <si>
    <t>SZOSZO udvar burkolása-öntöző rendszer</t>
  </si>
  <si>
    <t>Közvílágítás bővités</t>
  </si>
  <si>
    <t>iskola udvar térkövezés</t>
  </si>
  <si>
    <t>Magyar Falu program Dózsa Gy.u.18.</t>
  </si>
  <si>
    <t>Rotációs kapa</t>
  </si>
  <si>
    <t>Segway pályázat önerő és pályázati forrás</t>
  </si>
  <si>
    <t>3 gyalogosátkelőhely bitósítása lézeres kapuval</t>
  </si>
  <si>
    <t>Iskolába udvari játékok,tanári asztal, székek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</si>
  <si>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</si>
  <si>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</si>
  <si>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</si>
  <si>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</si>
  <si>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</si>
  <si>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</si>
  <si>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</si>
  <si>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</si>
  <si>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</si>
  <si>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</si>
  <si>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</si>
  <si>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</si>
  <si>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</si>
  <si>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Orvosi rendelő felújítása</t>
  </si>
  <si>
    <t>Gyalogos közök rekonstrukciója (TOP pályázat)</t>
  </si>
  <si>
    <t>Hovéd utca aszfaltburkolása</t>
  </si>
  <si>
    <t>2020. évi előirányzat összesen</t>
  </si>
  <si>
    <t>B25</t>
  </si>
  <si>
    <t>B2,B7</t>
  </si>
  <si>
    <t>B8131</t>
  </si>
  <si>
    <t>B813</t>
  </si>
  <si>
    <t>K5</t>
  </si>
  <si>
    <t>Székek,berendezési tárgyak, védőnő vizsgáló eszköz, ovi körforgó( 640 e)</t>
  </si>
  <si>
    <t>B52</t>
  </si>
  <si>
    <t>K89</t>
  </si>
  <si>
    <t>Általános tartalékok</t>
  </si>
  <si>
    <t>Ei.mód I</t>
  </si>
  <si>
    <t>Mód.ei.</t>
  </si>
  <si>
    <t>Teljesítés</t>
  </si>
  <si>
    <t>ABDA KÖZSÉG ÖNKORMÁNYZATA   2020. I.F.ÉVI EI.MÓD+TELJESÍTÉS</t>
  </si>
  <si>
    <t>Egyéb felhalm.célú átvett pénzeszköz</t>
  </si>
  <si>
    <t>B75</t>
  </si>
  <si>
    <t>Mód.ei</t>
  </si>
  <si>
    <t>Ei.mód I.</t>
  </si>
  <si>
    <t xml:space="preserve">Szigetköz Felső-Duna mente" Térségi Fejlesztési Tanács 2020. évi tagdíj </t>
  </si>
  <si>
    <t>VVFk-Bau Kft.  Jól teljesítési biztosíték v.utalása</t>
  </si>
  <si>
    <t>Külterületi út</t>
  </si>
  <si>
    <t>Inf. eszközök beszerzése Apple termékek- képviselőknek, hivatal, Zsolt- notebook, monitor, egér</t>
  </si>
  <si>
    <t>Asztali lámpa, hidraulikus tűzifahasító (310.000)</t>
  </si>
  <si>
    <t>ABDA KÖZSÉG ÖNKORMÁNYZATA   2020.  I.F.ÉVI EI.MÓD+TELJESÍTÉS</t>
  </si>
  <si>
    <t>ABDA KÖZSÉG ÖNKORMÁNYZATA 2020. I.F.ÉVI EI.MÓD+TELJESÍTÉS</t>
  </si>
  <si>
    <t>Eredeti összesen</t>
  </si>
  <si>
    <t xml:space="preserve">Mód.ei </t>
  </si>
  <si>
    <t xml:space="preserve">Mód.ei. </t>
  </si>
  <si>
    <t xml:space="preserve">   3.-ból:  - Felhalmozási célú pe. átadás államháztartáson belül- csapadékvíz elv. El nem költött 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</si>
</sst>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F_t_-;\-* #,##0\ _F_t_-;_-* &quot;-&quot;\ _F_t_-;_-@_-"/>
    <numFmt numFmtId="165" formatCode="_-* #,##0.00\ _F_t_-;\-* #,##0.00\ _F_t_-;_-* &quot;-&quot;??\ _F_t_-;_-@_-"/>
    <numFmt numFmtId="166" formatCode="_-* #,##0.0\ _F_t_-;\-* #,##0.0\ _F_t_-;_-* &quot;-&quot;??\ _F_t_-;_-@_-"/>
    <numFmt numFmtId="167" formatCode="0.0"/>
    <numFmt numFmtId="168" formatCode="#,###"/>
    <numFmt numFmtId="169" formatCode="_-* #,##0_-;\-* #,##0_-;_-* &quot;-&quot;??_-;_-@_-"/>
  </numFmts>
  <fonts count="6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color theme="5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9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lightHorizontal"/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43" fontId="1" fillId="0" borderId="0" applyFont="0" applyFill="0" applyBorder="0" applyAlignment="0" applyProtection="0"/>
  </cellStyleXfs>
  <cellXfs count="6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165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6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6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6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165" fontId="2" fillId="24" borderId="44" xfId="0" applyNumberFormat="1" applyFont="1" applyFill="1" applyBorder="1" applyAlignment="1">
      <alignment horizontal="right" vertical="center" wrapText="1"/>
    </xf>
    <xf numFmtId="167" fontId="2" fillId="24" borderId="37" xfId="0" applyNumberFormat="1" applyFont="1" applyFill="1" applyBorder="1" applyAlignment="1">
      <alignment vertical="center"/>
    </xf>
    <xf numFmtId="165" fontId="2" fillId="24" borderId="37" xfId="0" applyNumberFormat="1" applyFont="1" applyFill="1" applyBorder="1" applyAlignment="1">
      <alignment vertical="center"/>
    </xf>
    <xf numFmtId="168" fontId="28" fillId="0" borderId="0" xfId="0" applyNumberFormat="1" applyFont="1" applyAlignment="1">
      <alignment horizontal="centerContinuous" vertical="center" wrapText="1"/>
    </xf>
    <xf numFmtId="168" fontId="30" fillId="0" borderId="0" xfId="0" applyNumberFormat="1" applyFont="1" applyAlignment="1">
      <alignment horizontal="right" vertical="center"/>
    </xf>
    <xf numFmtId="168" fontId="32" fillId="0" borderId="29" xfId="0" applyNumberFormat="1" applyFont="1" applyBorder="1" applyAlignment="1">
      <alignment horizontal="centerContinuous" vertical="center" wrapText="1"/>
    </xf>
    <xf numFmtId="168" fontId="32" fillId="0" borderId="26" xfId="0" applyNumberFormat="1" applyFont="1" applyBorder="1" applyAlignment="1">
      <alignment horizontal="centerContinuous" vertical="center" wrapText="1"/>
    </xf>
    <xf numFmtId="168" fontId="32" fillId="0" borderId="29" xfId="0" applyNumberFormat="1" applyFont="1" applyBorder="1" applyAlignment="1">
      <alignment horizontal="center" vertical="center" wrapText="1"/>
    </xf>
    <xf numFmtId="168" fontId="32" fillId="0" borderId="26" xfId="0" applyNumberFormat="1" applyFont="1" applyBorder="1" applyAlignment="1">
      <alignment horizontal="center" vertical="center" wrapText="1"/>
    </xf>
    <xf numFmtId="168" fontId="33" fillId="0" borderId="0" xfId="0" applyNumberFormat="1" applyFont="1" applyAlignment="1">
      <alignment horizontal="center" vertical="center" wrapText="1"/>
    </xf>
    <xf numFmtId="168" fontId="34" fillId="0" borderId="37" xfId="0" applyNumberFormat="1" applyFont="1" applyBorder="1" applyAlignment="1">
      <alignment horizontal="center" vertical="center" wrapText="1"/>
    </xf>
    <xf numFmtId="168" fontId="34" fillId="0" borderId="29" xfId="0" applyNumberFormat="1" applyFont="1" applyBorder="1" applyAlignment="1">
      <alignment horizontal="center" vertical="center" wrapText="1"/>
    </xf>
    <xf numFmtId="168" fontId="34" fillId="0" borderId="26" xfId="0" applyNumberFormat="1" applyFont="1" applyBorder="1" applyAlignment="1">
      <alignment horizontal="center" vertical="center" wrapText="1"/>
    </xf>
    <xf numFmtId="168" fontId="34" fillId="0" borderId="15" xfId="0" applyNumberFormat="1" applyFont="1" applyBorder="1" applyAlignment="1">
      <alignment horizontal="center" vertical="center" wrapText="1"/>
    </xf>
    <xf numFmtId="168" fontId="34" fillId="0" borderId="0" xfId="0" applyNumberFormat="1" applyFont="1" applyAlignment="1">
      <alignment horizontal="center" vertical="center" wrapText="1"/>
    </xf>
    <xf numFmtId="168" fontId="35" fillId="0" borderId="39" xfId="0" applyNumberFormat="1" applyFont="1" applyBorder="1" applyAlignment="1">
      <alignment horizontal="left" vertical="center" wrapText="1" indent="1"/>
    </xf>
    <xf numFmtId="168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10" xfId="0" applyNumberFormat="1" applyFont="1" applyBorder="1" applyAlignment="1">
      <alignment horizontal="left" vertical="center" wrapText="1" indent="1"/>
    </xf>
    <xf numFmtId="168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25" xfId="0" applyNumberFormat="1" applyFont="1" applyBorder="1" applyAlignment="1">
      <alignment horizontal="left" vertical="center" wrapText="1" indent="1"/>
    </xf>
    <xf numFmtId="168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8" fontId="36" fillId="0" borderId="0" xfId="0" applyNumberFormat="1" applyFont="1" applyAlignment="1">
      <alignment horizontal="left" vertical="center" wrapText="1" indent="1"/>
    </xf>
    <xf numFmtId="168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47" xfId="0" applyNumberFormat="1" applyFont="1" applyBorder="1" applyAlignment="1" applyProtection="1">
      <alignment horizontal="right" vertical="center" wrapText="1" indent="1"/>
      <protection locked="0"/>
    </xf>
    <xf numFmtId="168" fontId="37" fillId="0" borderId="37" xfId="0" applyNumberFormat="1" applyFont="1" applyBorder="1" applyAlignment="1">
      <alignment horizontal="left" vertical="center" wrapText="1" indent="1"/>
    </xf>
    <xf numFmtId="168" fontId="34" fillId="0" borderId="29" xfId="0" applyNumberFormat="1" applyFont="1" applyBorder="1" applyAlignment="1">
      <alignment horizontal="left" vertical="center" wrapText="1" indent="1"/>
    </xf>
    <xf numFmtId="168" fontId="34" fillId="0" borderId="26" xfId="0" applyNumberFormat="1" applyFont="1" applyBorder="1" applyAlignment="1">
      <alignment horizontal="right" vertical="center" wrapText="1" indent="1"/>
    </xf>
    <xf numFmtId="168" fontId="34" fillId="0" borderId="15" xfId="0" applyNumberFormat="1" applyFont="1" applyBorder="1" applyAlignment="1">
      <alignment horizontal="right" vertical="center" wrapText="1" indent="1"/>
    </xf>
    <xf numFmtId="168" fontId="38" fillId="0" borderId="41" xfId="0" applyNumberFormat="1" applyFont="1" applyBorder="1" applyAlignment="1">
      <alignment horizontal="left" vertical="center" wrapText="1" indent="1"/>
    </xf>
    <xf numFmtId="168" fontId="36" fillId="0" borderId="48" xfId="0" applyNumberFormat="1" applyFont="1" applyBorder="1" applyAlignment="1">
      <alignment horizontal="left" vertical="center" wrapText="1" indent="1"/>
    </xf>
    <xf numFmtId="168" fontId="36" fillId="0" borderId="10" xfId="0" applyNumberFormat="1" applyFont="1" applyBorder="1" applyAlignment="1">
      <alignment horizontal="left" vertical="center" wrapText="1" indent="1"/>
    </xf>
    <xf numFmtId="168" fontId="38" fillId="0" borderId="42" xfId="0" applyNumberFormat="1" applyFont="1" applyBorder="1" applyAlignment="1">
      <alignment horizontal="left" vertical="center" wrapText="1" indent="1"/>
    </xf>
    <xf numFmtId="168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8" fontId="36" fillId="0" borderId="12" xfId="0" applyNumberFormat="1" applyFont="1" applyBorder="1" applyAlignment="1" applyProtection="1">
      <alignment horizontal="right" vertical="center" wrapText="1" indent="1"/>
      <protection locked="0"/>
    </xf>
    <xf numFmtId="168" fontId="39" fillId="0" borderId="11" xfId="0" applyNumberFormat="1" applyFont="1" applyBorder="1" applyAlignment="1">
      <alignment horizontal="right" vertical="center" wrapText="1" indent="1"/>
    </xf>
    <xf numFmtId="168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8" fontId="31" fillId="0" borderId="29" xfId="0" applyNumberFormat="1" applyFont="1" applyBorder="1" applyAlignment="1">
      <alignment horizontal="left" vertical="center" wrapText="1" indent="1"/>
    </xf>
    <xf numFmtId="168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8" fontId="34" fillId="0" borderId="15" xfId="0" applyNumberFormat="1" applyFont="1" applyBorder="1" applyAlignment="1" applyProtection="1">
      <alignment horizontal="right" vertical="center" wrapText="1" indent="1"/>
      <protection locked="0"/>
    </xf>
    <xf numFmtId="168" fontId="37" fillId="0" borderId="29" xfId="0" applyNumberFormat="1" applyFont="1" applyBorder="1" applyAlignment="1">
      <alignment horizontal="left" vertical="center" wrapText="1" indent="1"/>
    </xf>
    <xf numFmtId="168" fontId="37" fillId="0" borderId="50" xfId="0" applyNumberFormat="1" applyFont="1" applyBorder="1" applyAlignment="1">
      <alignment horizontal="right" vertical="center" wrapText="1" indent="1"/>
    </xf>
    <xf numFmtId="168" fontId="35" fillId="0" borderId="10" xfId="0" quotePrefix="1" applyNumberFormat="1" applyFont="1" applyBorder="1" applyAlignment="1">
      <alignment horizontal="left" vertical="center" wrapText="1" indent="6"/>
    </xf>
    <xf numFmtId="168" fontId="36" fillId="0" borderId="10" xfId="0" quotePrefix="1" applyNumberFormat="1" applyFont="1" applyBorder="1" applyAlignment="1">
      <alignment horizontal="left" vertical="center" wrapText="1" indent="6"/>
    </xf>
    <xf numFmtId="168" fontId="35" fillId="0" borderId="10" xfId="0" quotePrefix="1" applyNumberFormat="1" applyFont="1" applyBorder="1" applyAlignment="1">
      <alignment horizontal="left" vertical="center" wrapText="1" indent="3"/>
    </xf>
    <xf numFmtId="168" fontId="35" fillId="0" borderId="48" xfId="0" applyNumberFormat="1" applyFont="1" applyBorder="1" applyAlignment="1">
      <alignment horizontal="left" vertical="center" wrapText="1" indent="1"/>
    </xf>
    <xf numFmtId="168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8" fontId="38" fillId="0" borderId="51" xfId="0" applyNumberFormat="1" applyFont="1" applyBorder="1" applyAlignment="1">
      <alignment horizontal="left" vertical="center" wrapText="1" indent="1"/>
    </xf>
    <xf numFmtId="168" fontId="39" fillId="0" borderId="48" xfId="0" applyNumberFormat="1" applyFont="1" applyBorder="1" applyAlignment="1">
      <alignment horizontal="left" vertical="center" wrapText="1" indent="1"/>
    </xf>
    <xf numFmtId="168" fontId="39" fillId="0" borderId="17" xfId="0" applyNumberFormat="1" applyFont="1" applyBorder="1" applyAlignment="1">
      <alignment horizontal="right" vertical="center" wrapText="1" indent="1"/>
    </xf>
    <xf numFmtId="168" fontId="36" fillId="0" borderId="45" xfId="0" applyNumberFormat="1" applyFont="1" applyBorder="1" applyAlignment="1" applyProtection="1">
      <alignment horizontal="right" vertical="center" wrapText="1" indent="1"/>
      <protection locked="0"/>
    </xf>
    <xf numFmtId="168" fontId="36" fillId="0" borderId="10" xfId="0" applyNumberFormat="1" applyFont="1" applyBorder="1" applyAlignment="1">
      <alignment horizontal="left" vertical="center" wrapText="1" indent="2"/>
    </xf>
    <xf numFmtId="168" fontId="36" fillId="0" borderId="11" xfId="0" applyNumberFormat="1" applyFont="1" applyBorder="1" applyAlignment="1">
      <alignment horizontal="left" vertical="center" wrapText="1" indent="2"/>
    </xf>
    <xf numFmtId="168" fontId="39" fillId="0" borderId="11" xfId="0" applyNumberFormat="1" applyFont="1" applyBorder="1" applyAlignment="1">
      <alignment horizontal="left" vertical="center" wrapText="1" indent="1"/>
    </xf>
    <xf numFmtId="168" fontId="36" fillId="0" borderId="39" xfId="0" applyNumberFormat="1" applyFont="1" applyBorder="1" applyAlignment="1">
      <alignment horizontal="left" vertical="center" wrapText="1" indent="1"/>
    </xf>
    <xf numFmtId="168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8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8" fontId="35" fillId="0" borderId="39" xfId="0" applyNumberFormat="1" applyFont="1" applyBorder="1" applyAlignment="1">
      <alignment horizontal="left" vertical="center" wrapText="1" indent="2"/>
    </xf>
    <xf numFmtId="168" fontId="35" fillId="0" borderId="46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52" xfId="0" applyNumberFormat="1" applyFont="1" applyBorder="1" applyAlignment="1">
      <alignment vertical="center"/>
    </xf>
    <xf numFmtId="3" fontId="2" fillId="24" borderId="37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vertical="center"/>
    </xf>
    <xf numFmtId="3" fontId="3" fillId="0" borderId="54" xfId="0" applyNumberFormat="1" applyFont="1" applyBorder="1" applyAlignment="1">
      <alignment vertical="center"/>
    </xf>
    <xf numFmtId="3" fontId="3" fillId="1" borderId="54" xfId="0" applyNumberFormat="1" applyFont="1" applyFill="1" applyBorder="1" applyAlignment="1">
      <alignment vertical="center"/>
    </xf>
    <xf numFmtId="3" fontId="3" fillId="0" borderId="5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24" borderId="37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5" fillId="0" borderId="11" xfId="0" applyFont="1" applyBorder="1" applyAlignment="1">
      <alignment horizontal="center" vertical="top" wrapText="1"/>
    </xf>
    <xf numFmtId="0" fontId="0" fillId="0" borderId="11" xfId="0" applyBorder="1"/>
    <xf numFmtId="0" fontId="44" fillId="0" borderId="11" xfId="0" applyFont="1" applyBorder="1"/>
    <xf numFmtId="3" fontId="40" fillId="24" borderId="11" xfId="0" applyNumberFormat="1" applyFont="1" applyFill="1" applyBorder="1" applyAlignment="1">
      <alignment horizontal="center" vertical="center" wrapText="1"/>
    </xf>
    <xf numFmtId="3" fontId="42" fillId="24" borderId="11" xfId="0" applyNumberFormat="1" applyFont="1" applyFill="1" applyBorder="1" applyAlignment="1">
      <alignment horizontal="right" vertical="center" wrapText="1"/>
    </xf>
    <xf numFmtId="3" fontId="42" fillId="27" borderId="11" xfId="0" applyNumberFormat="1" applyFont="1" applyFill="1" applyBorder="1" applyAlignment="1">
      <alignment horizontal="right" vertical="center" wrapText="1"/>
    </xf>
    <xf numFmtId="3" fontId="43" fillId="28" borderId="11" xfId="0" applyNumberFormat="1" applyFont="1" applyFill="1" applyBorder="1" applyAlignment="1">
      <alignment horizontal="right"/>
    </xf>
    <xf numFmtId="3" fontId="47" fillId="28" borderId="11" xfId="0" applyNumberFormat="1" applyFont="1" applyFill="1" applyBorder="1" applyAlignment="1">
      <alignment horizontal="right"/>
    </xf>
    <xf numFmtId="0" fontId="47" fillId="0" borderId="0" xfId="0" applyFont="1"/>
    <xf numFmtId="0" fontId="44" fillId="0" borderId="1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8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8" fontId="39" fillId="0" borderId="36" xfId="0" applyNumberFormat="1" applyFont="1" applyBorder="1" applyAlignment="1">
      <alignment horizontal="right" vertical="center" wrapText="1" indent="1"/>
    </xf>
    <xf numFmtId="168" fontId="1" fillId="0" borderId="0" xfId="0" applyNumberFormat="1" applyFont="1" applyAlignment="1">
      <alignment vertical="center" wrapText="1"/>
    </xf>
    <xf numFmtId="168" fontId="44" fillId="0" borderId="0" xfId="0" applyNumberFormat="1" applyFont="1" applyAlignment="1">
      <alignment horizontal="centerContinuous" vertical="center"/>
    </xf>
    <xf numFmtId="168" fontId="44" fillId="0" borderId="0" xfId="0" applyNumberFormat="1" applyFont="1" applyAlignment="1">
      <alignment vertical="center" wrapText="1"/>
    </xf>
    <xf numFmtId="168" fontId="44" fillId="0" borderId="0" xfId="0" applyNumberFormat="1" applyFont="1" applyAlignment="1">
      <alignment horizontal="center" vertical="center" wrapText="1"/>
    </xf>
    <xf numFmtId="168" fontId="44" fillId="0" borderId="51" xfId="0" applyNumberFormat="1" applyFont="1" applyBorder="1" applyAlignment="1">
      <alignment horizontal="left" vertical="center" wrapText="1" indent="1"/>
    </xf>
    <xf numFmtId="168" fontId="44" fillId="0" borderId="42" xfId="0" applyNumberFormat="1" applyFont="1" applyBorder="1" applyAlignment="1">
      <alignment horizontal="left" vertical="center" wrapText="1" indent="1"/>
    </xf>
    <xf numFmtId="168" fontId="35" fillId="0" borderId="49" xfId="0" applyNumberFormat="1" applyFont="1" applyBorder="1" applyAlignment="1" applyProtection="1">
      <alignment horizontal="right" vertical="center" wrapText="1" indent="1"/>
      <protection locked="0"/>
    </xf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3" fontId="27" fillId="27" borderId="11" xfId="0" applyNumberFormat="1" applyFont="1" applyFill="1" applyBorder="1" applyAlignment="1">
      <alignment horizontal="right" vertical="center" wrapText="1"/>
    </xf>
    <xf numFmtId="0" fontId="42" fillId="0" borderId="11" xfId="0" applyFont="1" applyBorder="1" applyAlignment="1">
      <alignment horizontal="left" vertical="center" wrapText="1"/>
    </xf>
    <xf numFmtId="0" fontId="48" fillId="0" borderId="0" xfId="0" applyFont="1"/>
    <xf numFmtId="168" fontId="0" fillId="0" borderId="0" xfId="0" applyNumberFormat="1" applyAlignment="1">
      <alignment horizontal="centerContinuous" vertical="center"/>
    </xf>
    <xf numFmtId="168" fontId="0" fillId="0" borderId="0" xfId="0" applyNumberForma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3" fontId="27" fillId="29" borderId="11" xfId="0" applyNumberFormat="1" applyFont="1" applyFill="1" applyBorder="1" applyAlignment="1">
      <alignment horizontal="center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3" fontId="2" fillId="24" borderId="11" xfId="0" applyNumberFormat="1" applyFont="1" applyFill="1" applyBorder="1" applyAlignment="1">
      <alignment vertical="center"/>
    </xf>
    <xf numFmtId="0" fontId="2" fillId="24" borderId="29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/>
    </xf>
    <xf numFmtId="168" fontId="32" fillId="0" borderId="76" xfId="0" applyNumberFormat="1" applyFont="1" applyBorder="1" applyAlignment="1">
      <alignment horizontal="centerContinuous" vertical="center"/>
    </xf>
    <xf numFmtId="168" fontId="32" fillId="0" borderId="24" xfId="0" applyNumberFormat="1" applyFont="1" applyBorder="1" applyAlignment="1">
      <alignment horizontal="centerContinuous" vertical="center"/>
    </xf>
    <xf numFmtId="168" fontId="32" fillId="0" borderId="53" xfId="0" applyNumberFormat="1" applyFont="1" applyBorder="1" applyAlignment="1">
      <alignment horizontal="centerContinuous" vertical="center"/>
    </xf>
    <xf numFmtId="168" fontId="51" fillId="0" borderId="0" xfId="0" applyNumberFormat="1" applyFont="1" applyAlignment="1">
      <alignment vertical="center"/>
    </xf>
    <xf numFmtId="168" fontId="32" fillId="0" borderId="28" xfId="0" applyNumberFormat="1" applyFont="1" applyBorder="1" applyAlignment="1">
      <alignment horizontal="center" vertical="center"/>
    </xf>
    <xf numFmtId="168" fontId="32" fillId="0" borderId="68" xfId="0" applyNumberFormat="1" applyFont="1" applyBorder="1" applyAlignment="1">
      <alignment horizontal="center" vertical="center"/>
    </xf>
    <xf numFmtId="168" fontId="32" fillId="0" borderId="13" xfId="0" applyNumberFormat="1" applyFont="1" applyBorder="1" applyAlignment="1">
      <alignment horizontal="center" vertical="center" wrapText="1"/>
    </xf>
    <xf numFmtId="168" fontId="51" fillId="0" borderId="0" xfId="0" applyNumberFormat="1" applyFont="1" applyAlignment="1">
      <alignment horizontal="center" vertical="center"/>
    </xf>
    <xf numFmtId="168" fontId="52" fillId="0" borderId="44" xfId="0" applyNumberFormat="1" applyFont="1" applyBorder="1" applyAlignment="1">
      <alignment horizontal="center" vertical="center" wrapText="1"/>
    </xf>
    <xf numFmtId="168" fontId="52" fillId="0" borderId="26" xfId="0" applyNumberFormat="1" applyFont="1" applyBorder="1" applyAlignment="1">
      <alignment horizontal="center" vertical="center" wrapText="1"/>
    </xf>
    <xf numFmtId="168" fontId="52" fillId="0" borderId="72" xfId="0" applyNumberFormat="1" applyFont="1" applyBorder="1" applyAlignment="1">
      <alignment horizontal="center" vertical="center" wrapText="1"/>
    </xf>
    <xf numFmtId="168" fontId="52" fillId="0" borderId="41" xfId="0" applyNumberFormat="1" applyFont="1" applyBorder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 wrapText="1"/>
    </xf>
    <xf numFmtId="168" fontId="52" fillId="0" borderId="73" xfId="0" applyNumberFormat="1" applyFont="1" applyBorder="1" applyAlignment="1">
      <alignment horizontal="right" vertical="center" wrapText="1" indent="1"/>
    </xf>
    <xf numFmtId="168" fontId="34" fillId="0" borderId="22" xfId="0" applyNumberFormat="1" applyFont="1" applyBorder="1" applyAlignment="1">
      <alignment horizontal="left" vertical="center" wrapText="1" indent="1"/>
    </xf>
    <xf numFmtId="1" fontId="37" fillId="30" borderId="22" xfId="0" applyNumberFormat="1" applyFont="1" applyFill="1" applyBorder="1" applyAlignment="1">
      <alignment horizontal="center" vertical="center" wrapText="1"/>
    </xf>
    <xf numFmtId="168" fontId="34" fillId="0" borderId="22" xfId="0" applyNumberFormat="1" applyFont="1" applyBorder="1" applyAlignment="1">
      <alignment vertical="center" wrapText="1"/>
    </xf>
    <xf numFmtId="168" fontId="34" fillId="0" borderId="76" xfId="0" applyNumberFormat="1" applyFont="1" applyBorder="1" applyAlignment="1">
      <alignment vertical="center" wrapText="1"/>
    </xf>
    <xf numFmtId="168" fontId="34" fillId="0" borderId="60" xfId="0" applyNumberFormat="1" applyFont="1" applyBorder="1" applyAlignment="1">
      <alignment vertical="center" wrapText="1"/>
    </xf>
    <xf numFmtId="168" fontId="52" fillId="0" borderId="10" xfId="0" applyNumberFormat="1" applyFont="1" applyBorder="1" applyAlignment="1">
      <alignment horizontal="right" vertical="center" wrapText="1" indent="1"/>
    </xf>
    <xf numFmtId="168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3" fillId="0" borderId="11" xfId="0" applyNumberFormat="1" applyFont="1" applyBorder="1" applyAlignment="1" applyProtection="1">
      <alignment horizontal="center" vertical="center" wrapText="1"/>
      <protection locked="0"/>
    </xf>
    <xf numFmtId="168" fontId="35" fillId="0" borderId="11" xfId="0" applyNumberFormat="1" applyFont="1" applyBorder="1" applyAlignment="1" applyProtection="1">
      <alignment vertical="center" wrapText="1"/>
      <protection locked="0"/>
    </xf>
    <xf numFmtId="168" fontId="35" fillId="0" borderId="18" xfId="0" applyNumberFormat="1" applyFont="1" applyBorder="1" applyAlignment="1" applyProtection="1">
      <alignment vertical="center" wrapText="1"/>
      <protection locked="0"/>
    </xf>
    <xf numFmtId="168" fontId="35" fillId="0" borderId="42" xfId="0" applyNumberFormat="1" applyFont="1" applyBorder="1" applyAlignment="1">
      <alignment vertical="center" wrapText="1"/>
    </xf>
    <xf numFmtId="168" fontId="34" fillId="0" borderId="11" xfId="0" applyNumberFormat="1" applyFont="1" applyBorder="1" applyAlignment="1">
      <alignment horizontal="left" vertical="center" wrapText="1" indent="1"/>
    </xf>
    <xf numFmtId="1" fontId="37" fillId="30" borderId="11" xfId="0" applyNumberFormat="1" applyFont="1" applyFill="1" applyBorder="1" applyAlignment="1">
      <alignment horizontal="center" vertical="center" wrapText="1"/>
    </xf>
    <xf numFmtId="168" fontId="34" fillId="0" borderId="11" xfId="0" applyNumberFormat="1" applyFont="1" applyBorder="1" applyAlignment="1">
      <alignment vertical="center" wrapText="1"/>
    </xf>
    <xf numFmtId="168" fontId="34" fillId="0" borderId="18" xfId="0" applyNumberFormat="1" applyFont="1" applyBorder="1" applyAlignment="1">
      <alignment vertical="center" wrapText="1"/>
    </xf>
    <xf numFmtId="168" fontId="34" fillId="0" borderId="42" xfId="0" applyNumberFormat="1" applyFont="1" applyBorder="1" applyAlignment="1">
      <alignment vertical="center" wrapText="1"/>
    </xf>
    <xf numFmtId="168" fontId="52" fillId="0" borderId="11" xfId="0" applyNumberFormat="1" applyFont="1" applyBorder="1" applyAlignment="1">
      <alignment horizontal="left" vertical="center" wrapText="1" indent="1"/>
    </xf>
    <xf numFmtId="168" fontId="52" fillId="0" borderId="48" xfId="0" applyNumberFormat="1" applyFont="1" applyBorder="1" applyAlignment="1">
      <alignment horizontal="right" vertical="center" wrapText="1" indent="1"/>
    </xf>
    <xf numFmtId="168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30" borderId="19" xfId="0" applyNumberFormat="1" applyFont="1" applyFill="1" applyBorder="1" applyAlignment="1">
      <alignment horizontal="center" vertical="center" wrapText="1"/>
    </xf>
    <xf numFmtId="168" fontId="34" fillId="0" borderId="36" xfId="0" applyNumberFormat="1" applyFont="1" applyBorder="1" applyAlignment="1">
      <alignment vertical="center" wrapText="1"/>
    </xf>
    <xf numFmtId="168" fontId="34" fillId="0" borderId="40" xfId="0" applyNumberFormat="1" applyFont="1" applyBorder="1" applyAlignment="1">
      <alignment vertical="center" wrapText="1"/>
    </xf>
    <xf numFmtId="1" fontId="53" fillId="0" borderId="40" xfId="0" applyNumberFormat="1" applyFont="1" applyBorder="1" applyAlignment="1" applyProtection="1">
      <alignment horizontal="center" vertical="center" wrapText="1"/>
      <protection locked="0"/>
    </xf>
    <xf numFmtId="168" fontId="35" fillId="0" borderId="36" xfId="0" applyNumberFormat="1" applyFont="1" applyBorder="1" applyAlignment="1" applyProtection="1">
      <alignment vertical="center" wrapText="1"/>
      <protection locked="0"/>
    </xf>
    <xf numFmtId="168" fontId="35" fillId="0" borderId="40" xfId="0" applyNumberFormat="1" applyFont="1" applyBorder="1" applyAlignment="1" applyProtection="1">
      <alignment vertical="center" wrapText="1"/>
      <protection locked="0"/>
    </xf>
    <xf numFmtId="168" fontId="52" fillId="0" borderId="29" xfId="0" applyNumberFormat="1" applyFont="1" applyBorder="1" applyAlignment="1">
      <alignment horizontal="right" vertical="center" wrapText="1" indent="1"/>
    </xf>
    <xf numFmtId="168" fontId="52" fillId="0" borderId="26" xfId="0" applyNumberFormat="1" applyFont="1" applyBorder="1" applyAlignment="1">
      <alignment horizontal="left" vertical="center" wrapText="1" indent="1"/>
    </xf>
    <xf numFmtId="1" fontId="35" fillId="30" borderId="72" xfId="0" applyNumberFormat="1" applyFont="1" applyFill="1" applyBorder="1" applyAlignment="1">
      <alignment vertical="center" wrapText="1"/>
    </xf>
    <xf numFmtId="168" fontId="34" fillId="0" borderId="26" xfId="0" applyNumberFormat="1" applyFont="1" applyBorder="1" applyAlignment="1">
      <alignment vertical="center" wrapText="1"/>
    </xf>
    <xf numFmtId="168" fontId="34" fillId="0" borderId="37" xfId="0" applyNumberFormat="1" applyFont="1" applyBorder="1" applyAlignment="1">
      <alignment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9" borderId="14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" fillId="0" borderId="48" xfId="0" applyFont="1" applyBorder="1" applyAlignment="1">
      <alignment horizontal="center" vertical="top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1" fillId="0" borderId="11" xfId="0" applyFont="1" applyBorder="1" applyAlignment="1">
      <alignment horizontal="right" vertical="top" wrapText="1"/>
    </xf>
    <xf numFmtId="0" fontId="27" fillId="26" borderId="11" xfId="0" applyFont="1" applyFill="1" applyBorder="1" applyAlignment="1">
      <alignment horizontal="lef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right" vertical="top" wrapText="1"/>
    </xf>
    <xf numFmtId="0" fontId="27" fillId="27" borderId="11" xfId="0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7" fillId="24" borderId="11" xfId="0" applyFont="1" applyFill="1" applyBorder="1" applyAlignment="1">
      <alignment horizontal="right" vertical="center" wrapText="1"/>
    </xf>
    <xf numFmtId="0" fontId="27" fillId="29" borderId="14" xfId="0" applyFont="1" applyFill="1" applyBorder="1" applyAlignment="1">
      <alignment horizontal="right" vertical="center" wrapText="1"/>
    </xf>
    <xf numFmtId="0" fontId="27" fillId="27" borderId="5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7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6" fillId="0" borderId="17" xfId="0" applyFont="1" applyFill="1" applyBorder="1"/>
    <xf numFmtId="168" fontId="32" fillId="0" borderId="56" xfId="0" applyNumberFormat="1" applyFont="1" applyBorder="1" applyAlignment="1">
      <alignment horizontal="centerContinuous" vertical="center" wrapText="1"/>
    </xf>
    <xf numFmtId="3" fontId="41" fillId="0" borderId="11" xfId="0" applyNumberFormat="1" applyFont="1" applyBorder="1" applyAlignment="1">
      <alignment horizontal="right" vertical="center"/>
    </xf>
    <xf numFmtId="168" fontId="54" fillId="0" borderId="11" xfId="0" applyNumberFormat="1" applyFont="1" applyBorder="1" applyAlignment="1" applyProtection="1">
      <alignment horizontal="right" vertical="center" wrapText="1" indent="1"/>
      <protection locked="0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50" fillId="0" borderId="0" xfId="0" applyNumberFormat="1" applyFont="1" applyAlignment="1">
      <alignment horizontal="right" vertical="center"/>
    </xf>
    <xf numFmtId="0" fontId="50" fillId="0" borderId="71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168" fontId="0" fillId="0" borderId="0" xfId="0" applyNumberFormat="1" applyFont="1" applyAlignment="1">
      <alignment horizontal="center" vertical="center" wrapText="1"/>
    </xf>
    <xf numFmtId="168" fontId="0" fillId="0" borderId="0" xfId="0" applyNumberFormat="1" applyFont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0" fontId="0" fillId="0" borderId="34" xfId="0" applyFont="1" applyBorder="1" applyAlignment="1">
      <alignment horizontal="right" vertical="center"/>
    </xf>
    <xf numFmtId="0" fontId="55" fillId="0" borderId="0" xfId="0" applyFont="1" applyBorder="1" applyAlignment="1">
      <alignment horizontal="right" vertical="center"/>
    </xf>
    <xf numFmtId="3" fontId="3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2" fillId="24" borderId="37" xfId="0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3" fontId="3" fillId="1" borderId="0" xfId="0" applyNumberFormat="1" applyFont="1" applyFill="1" applyAlignment="1">
      <alignment vertical="center"/>
    </xf>
    <xf numFmtId="3" fontId="3" fillId="0" borderId="56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top"/>
    </xf>
    <xf numFmtId="3" fontId="2" fillId="0" borderId="17" xfId="0" applyNumberFormat="1" applyFont="1" applyBorder="1" applyAlignment="1">
      <alignment vertical="center"/>
    </xf>
    <xf numFmtId="0" fontId="47" fillId="28" borderId="11" xfId="0" applyFont="1" applyFill="1" applyBorder="1" applyAlignment="1">
      <alignment horizontal="left"/>
    </xf>
    <xf numFmtId="0" fontId="42" fillId="27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42" fillId="27" borderId="59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9" xfId="0" applyNumberFormat="1" applyFont="1" applyFill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3" fontId="2" fillId="24" borderId="23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3" fontId="2" fillId="24" borderId="15" xfId="0" applyNumberFormat="1" applyFont="1" applyFill="1" applyBorder="1" applyAlignment="1">
      <alignment horizontal="center" vertical="center" wrapText="1"/>
    </xf>
    <xf numFmtId="168" fontId="32" fillId="0" borderId="55" xfId="0" applyNumberFormat="1" applyFont="1" applyBorder="1" applyAlignment="1">
      <alignment horizontal="centerContinuous" vertical="center" wrapText="1"/>
    </xf>
    <xf numFmtId="168" fontId="32" fillId="0" borderId="55" xfId="0" applyNumberFormat="1" applyFont="1" applyBorder="1" applyAlignment="1">
      <alignment horizontal="center" vertical="center" wrapText="1"/>
    </xf>
    <xf numFmtId="168" fontId="34" fillId="0" borderId="55" xfId="0" applyNumberFormat="1" applyFont="1" applyBorder="1" applyAlignment="1">
      <alignment horizontal="center" vertical="center" wrapText="1"/>
    </xf>
    <xf numFmtId="168" fontId="35" fillId="0" borderId="59" xfId="0" applyNumberFormat="1" applyFont="1" applyBorder="1" applyAlignment="1">
      <alignment horizontal="left" vertical="center" wrapText="1" indent="1"/>
    </xf>
    <xf numFmtId="168" fontId="35" fillId="0" borderId="14" xfId="0" applyNumberFormat="1" applyFont="1" applyBorder="1" applyAlignment="1">
      <alignment horizontal="left" vertical="center" wrapText="1" indent="1"/>
    </xf>
    <xf numFmtId="168" fontId="35" fillId="0" borderId="0" xfId="0" applyNumberFormat="1" applyFont="1" applyBorder="1" applyAlignment="1">
      <alignment horizontal="left" vertical="center" wrapText="1" indent="1"/>
    </xf>
    <xf numFmtId="168" fontId="35" fillId="0" borderId="32" xfId="0" applyNumberFormat="1" applyFont="1" applyBorder="1" applyAlignment="1">
      <alignment horizontal="left" vertical="center" wrapText="1" indent="1"/>
    </xf>
    <xf numFmtId="168" fontId="35" fillId="0" borderId="14" xfId="0" applyNumberFormat="1" applyFont="1" applyBorder="1" applyAlignment="1" applyProtection="1">
      <alignment horizontal="left" vertical="center" wrapText="1" indent="1"/>
      <protection locked="0"/>
    </xf>
    <xf numFmtId="168" fontId="35" fillId="0" borderId="58" xfId="0" applyNumberFormat="1" applyFont="1" applyBorder="1" applyAlignment="1" applyProtection="1">
      <alignment horizontal="left" vertical="center" wrapText="1" indent="1"/>
      <protection locked="0"/>
    </xf>
    <xf numFmtId="168" fontId="34" fillId="0" borderId="55" xfId="0" applyNumberFormat="1" applyFont="1" applyBorder="1" applyAlignment="1">
      <alignment horizontal="left" vertical="center" wrapText="1" indent="1"/>
    </xf>
    <xf numFmtId="168" fontId="36" fillId="0" borderId="77" xfId="0" applyNumberFormat="1" applyFont="1" applyBorder="1" applyAlignment="1">
      <alignment horizontal="left" vertical="center" wrapText="1" indent="1"/>
    </xf>
    <xf numFmtId="168" fontId="36" fillId="0" borderId="14" xfId="0" applyNumberFormat="1" applyFont="1" applyBorder="1" applyAlignment="1">
      <alignment horizontal="left" vertical="center" wrapText="1" indent="1"/>
    </xf>
    <xf numFmtId="168" fontId="34" fillId="0" borderId="56" xfId="0" applyNumberFormat="1" applyFont="1" applyBorder="1" applyAlignment="1">
      <alignment horizontal="center" vertical="center" wrapText="1"/>
    </xf>
    <xf numFmtId="168" fontId="35" fillId="0" borderId="34" xfId="0" applyNumberFormat="1" applyFont="1" applyBorder="1" applyAlignment="1">
      <alignment horizontal="left" vertical="center" wrapText="1" indent="1"/>
    </xf>
    <xf numFmtId="168" fontId="35" fillId="0" borderId="32" xfId="0" applyNumberFormat="1" applyFont="1" applyBorder="1" applyAlignment="1" applyProtection="1">
      <alignment horizontal="left" vertical="center" wrapText="1" indent="1"/>
      <protection locked="0"/>
    </xf>
    <xf numFmtId="168" fontId="35" fillId="0" borderId="57" xfId="0" applyNumberFormat="1" applyFont="1" applyBorder="1" applyAlignment="1" applyProtection="1">
      <alignment horizontal="left" vertical="center" wrapText="1" indent="1"/>
      <protection locked="0"/>
    </xf>
    <xf numFmtId="168" fontId="34" fillId="0" borderId="56" xfId="0" applyNumberFormat="1" applyFont="1" applyBorder="1" applyAlignment="1">
      <alignment horizontal="left" vertical="center" wrapText="1" indent="1"/>
    </xf>
    <xf numFmtId="168" fontId="36" fillId="0" borderId="0" xfId="0" applyNumberFormat="1" applyFont="1" applyBorder="1" applyAlignment="1">
      <alignment horizontal="left" vertical="center" wrapText="1" indent="1"/>
    </xf>
    <xf numFmtId="168" fontId="36" fillId="0" borderId="32" xfId="0" applyNumberFormat="1" applyFont="1" applyBorder="1" applyAlignment="1">
      <alignment horizontal="left" vertical="center" wrapText="1" indent="1"/>
    </xf>
    <xf numFmtId="168" fontId="32" fillId="0" borderId="44" xfId="0" applyNumberFormat="1" applyFont="1" applyBorder="1" applyAlignment="1">
      <alignment horizontal="center" vertical="center" wrapText="1"/>
    </xf>
    <xf numFmtId="168" fontId="34" fillId="0" borderId="44" xfId="0" applyNumberFormat="1" applyFont="1" applyBorder="1" applyAlignment="1">
      <alignment horizontal="center" vertical="center" wrapText="1"/>
    </xf>
    <xf numFmtId="168" fontId="35" fillId="0" borderId="33" xfId="0" applyNumberFormat="1" applyFont="1" applyBorder="1" applyAlignment="1">
      <alignment horizontal="left" vertical="center" wrapText="1" indent="1"/>
    </xf>
    <xf numFmtId="168" fontId="35" fillId="0" borderId="31" xfId="0" applyNumberFormat="1" applyFont="1" applyBorder="1" applyAlignment="1">
      <alignment horizontal="left" vertical="center" wrapText="1" indent="1"/>
    </xf>
    <xf numFmtId="168" fontId="35" fillId="0" borderId="31" xfId="0" applyNumberFormat="1" applyFont="1" applyBorder="1" applyAlignment="1" applyProtection="1">
      <alignment horizontal="left" vertical="center" wrapText="1" indent="1"/>
      <protection locked="0"/>
    </xf>
    <xf numFmtId="168" fontId="35" fillId="0" borderId="62" xfId="0" applyNumberFormat="1" applyFont="1" applyBorder="1" applyAlignment="1" applyProtection="1">
      <alignment horizontal="left" vertical="center" wrapText="1" indent="1"/>
      <protection locked="0"/>
    </xf>
    <xf numFmtId="168" fontId="34" fillId="0" borderId="44" xfId="0" applyNumberFormat="1" applyFont="1" applyBorder="1" applyAlignment="1">
      <alignment horizontal="left" vertical="center" wrapText="1" indent="1"/>
    </xf>
    <xf numFmtId="168" fontId="36" fillId="0" borderId="25" xfId="0" applyNumberFormat="1" applyFont="1" applyBorder="1" applyAlignment="1">
      <alignment horizontal="left" vertical="center" wrapText="1" indent="1"/>
    </xf>
    <xf numFmtId="168" fontId="36" fillId="0" borderId="31" xfId="0" applyNumberFormat="1" applyFont="1" applyBorder="1" applyAlignment="1">
      <alignment horizontal="left" vertical="center" wrapText="1" indent="1"/>
    </xf>
    <xf numFmtId="168" fontId="31" fillId="0" borderId="44" xfId="0" applyNumberFormat="1" applyFont="1" applyBorder="1" applyAlignment="1">
      <alignment horizontal="left" vertical="center" wrapText="1" indent="1"/>
    </xf>
    <xf numFmtId="168" fontId="37" fillId="0" borderId="44" xfId="0" applyNumberFormat="1" applyFont="1" applyBorder="1" applyAlignment="1">
      <alignment horizontal="left" vertical="center" wrapText="1" indent="1"/>
    </xf>
    <xf numFmtId="168" fontId="34" fillId="0" borderId="55" xfId="0" applyNumberFormat="1" applyFont="1" applyBorder="1" applyAlignment="1">
      <alignment horizontal="right" vertical="center" wrapText="1" indent="1"/>
    </xf>
    <xf numFmtId="168" fontId="39" fillId="0" borderId="14" xfId="0" applyNumberFormat="1" applyFont="1" applyBorder="1" applyAlignment="1">
      <alignment horizontal="right" vertical="center" wrapText="1" indent="1"/>
    </xf>
    <xf numFmtId="168" fontId="32" fillId="0" borderId="37" xfId="0" applyNumberFormat="1" applyFont="1" applyBorder="1" applyAlignment="1">
      <alignment horizontal="center" vertical="center" wrapText="1"/>
    </xf>
    <xf numFmtId="168" fontId="34" fillId="0" borderId="37" xfId="0" applyNumberFormat="1" applyFont="1" applyBorder="1" applyAlignment="1">
      <alignment horizontal="right" vertical="center" wrapText="1" indent="1"/>
    </xf>
    <xf numFmtId="168" fontId="34" fillId="0" borderId="37" xfId="0" applyNumberFormat="1" applyFont="1" applyBorder="1" applyAlignment="1">
      <alignment horizontal="left" vertical="center" wrapText="1" indent="1"/>
    </xf>
    <xf numFmtId="168" fontId="36" fillId="0" borderId="11" xfId="0" applyNumberFormat="1" applyFont="1" applyBorder="1" applyAlignment="1">
      <alignment horizontal="left" vertical="center" wrapText="1" indent="1"/>
    </xf>
    <xf numFmtId="168" fontId="35" fillId="0" borderId="73" xfId="0" applyNumberFormat="1" applyFont="1" applyBorder="1" applyAlignment="1">
      <alignment horizontal="left" vertical="center" wrapText="1" indent="1"/>
    </xf>
    <xf numFmtId="168" fontId="35" fillId="0" borderId="78" xfId="0" applyNumberFormat="1" applyFont="1" applyBorder="1" applyAlignment="1" applyProtection="1">
      <alignment horizontal="left" vertical="center" wrapText="1" indent="1"/>
      <protection locked="0"/>
    </xf>
    <xf numFmtId="168" fontId="39" fillId="0" borderId="73" xfId="0" applyNumberFormat="1" applyFont="1" applyBorder="1" applyAlignment="1">
      <alignment horizontal="right" vertical="center" wrapText="1" indent="1"/>
    </xf>
    <xf numFmtId="168" fontId="39" fillId="0" borderId="10" xfId="0" applyNumberFormat="1" applyFont="1" applyBorder="1" applyAlignment="1">
      <alignment horizontal="right" vertical="center" wrapText="1" indent="1"/>
    </xf>
    <xf numFmtId="168" fontId="36" fillId="0" borderId="78" xfId="0" applyNumberFormat="1" applyFont="1" applyBorder="1" applyAlignment="1">
      <alignment horizontal="left" vertical="center" wrapText="1" indent="1"/>
    </xf>
    <xf numFmtId="168" fontId="35" fillId="0" borderId="11" xfId="0" applyNumberFormat="1" applyFont="1" applyBorder="1" applyAlignment="1">
      <alignment horizontal="left" vertical="center" wrapText="1" indent="1"/>
    </xf>
    <xf numFmtId="168" fontId="36" fillId="0" borderId="54" xfId="0" applyNumberFormat="1" applyFont="1" applyBorder="1" applyAlignment="1" applyProtection="1">
      <alignment horizontal="right" vertical="center" wrapText="1" indent="1"/>
      <protection locked="0"/>
    </xf>
    <xf numFmtId="168" fontId="36" fillId="0" borderId="79" xfId="0" applyNumberFormat="1" applyFont="1" applyBorder="1" applyAlignment="1" applyProtection="1">
      <alignment horizontal="right" vertical="center" wrapText="1" indent="1"/>
      <protection locked="0"/>
    </xf>
    <xf numFmtId="168" fontId="36" fillId="0" borderId="80" xfId="0" applyNumberFormat="1" applyFont="1" applyBorder="1" applyAlignment="1">
      <alignment horizontal="left" vertical="center" wrapText="1" indent="1"/>
    </xf>
    <xf numFmtId="168" fontId="36" fillId="0" borderId="12" xfId="0" applyNumberFormat="1" applyFont="1" applyBorder="1" applyAlignment="1">
      <alignment horizontal="left" vertical="center" wrapText="1" indent="1"/>
    </xf>
    <xf numFmtId="168" fontId="36" fillId="0" borderId="49" xfId="0" applyNumberFormat="1" applyFont="1" applyBorder="1" applyAlignment="1">
      <alignment horizontal="left" vertical="center" wrapText="1" indent="1"/>
    </xf>
    <xf numFmtId="168" fontId="35" fillId="0" borderId="47" xfId="0" applyNumberFormat="1" applyFont="1" applyBorder="1" applyAlignment="1">
      <alignment horizontal="left" vertical="center" wrapText="1" indent="1"/>
    </xf>
    <xf numFmtId="168" fontId="35" fillId="0" borderId="13" xfId="0" applyNumberFormat="1" applyFont="1" applyBorder="1" applyAlignment="1">
      <alignment horizontal="left" vertical="center" wrapText="1" indent="1"/>
    </xf>
    <xf numFmtId="168" fontId="34" fillId="0" borderId="80" xfId="0" applyNumberFormat="1" applyFont="1" applyBorder="1" applyAlignment="1">
      <alignment horizontal="right" vertical="center" wrapText="1" indent="1"/>
    </xf>
    <xf numFmtId="168" fontId="34" fillId="0" borderId="81" xfId="0" applyNumberFormat="1" applyFont="1" applyBorder="1" applyAlignment="1">
      <alignment horizontal="left" vertical="center" wrapText="1" indent="1"/>
    </xf>
    <xf numFmtId="168" fontId="34" fillId="0" borderId="50" xfId="0" applyNumberFormat="1" applyFont="1" applyBorder="1" applyAlignment="1" applyProtection="1">
      <alignment horizontal="right" vertical="center" wrapText="1" indent="1"/>
      <protection locked="0"/>
    </xf>
    <xf numFmtId="168" fontId="35" fillId="0" borderId="82" xfId="0" applyNumberFormat="1" applyFont="1" applyBorder="1" applyAlignment="1">
      <alignment horizontal="left" vertical="center" wrapText="1" indent="1"/>
    </xf>
    <xf numFmtId="168" fontId="35" fillId="0" borderId="82" xfId="0" applyNumberFormat="1" applyFont="1" applyBorder="1" applyAlignment="1" applyProtection="1">
      <alignment horizontal="left" vertical="center" wrapText="1" indent="1"/>
      <protection locked="0"/>
    </xf>
    <xf numFmtId="168" fontId="34" fillId="0" borderId="83" xfId="0" applyNumberFormat="1" applyFont="1" applyBorder="1" applyAlignment="1">
      <alignment horizontal="right" vertical="center" wrapText="1" indent="1"/>
    </xf>
    <xf numFmtId="168" fontId="36" fillId="0" borderId="84" xfId="0" applyNumberFormat="1" applyFont="1" applyBorder="1" applyAlignment="1">
      <alignment horizontal="left" vertical="center" wrapText="1" indent="1"/>
    </xf>
    <xf numFmtId="168" fontId="36" fillId="0" borderId="85" xfId="0" applyNumberFormat="1" applyFont="1" applyBorder="1" applyAlignment="1">
      <alignment horizontal="left" vertical="center" wrapText="1" indent="1"/>
    </xf>
    <xf numFmtId="168" fontId="35" fillId="0" borderId="84" xfId="0" applyNumberFormat="1" applyFont="1" applyBorder="1" applyAlignment="1">
      <alignment horizontal="left" vertical="center" wrapText="1" indent="1"/>
    </xf>
    <xf numFmtId="168" fontId="35" fillId="0" borderId="85" xfId="0" applyNumberFormat="1" applyFont="1" applyBorder="1" applyAlignment="1" applyProtection="1">
      <alignment horizontal="left" vertical="center" wrapText="1" indent="1"/>
      <protection locked="0"/>
    </xf>
    <xf numFmtId="168" fontId="34" fillId="0" borderId="86" xfId="0" applyNumberFormat="1" applyFont="1" applyBorder="1" applyAlignment="1">
      <alignment horizontal="right" vertical="center" wrapText="1" indent="1"/>
    </xf>
    <xf numFmtId="168" fontId="34" fillId="0" borderId="87" xfId="0" applyNumberFormat="1" applyFont="1" applyBorder="1" applyAlignment="1">
      <alignment horizontal="right" vertical="center" wrapText="1" indent="1"/>
    </xf>
    <xf numFmtId="0" fontId="3" fillId="0" borderId="34" xfId="0" applyFont="1" applyBorder="1" applyAlignment="1">
      <alignment vertical="center"/>
    </xf>
    <xf numFmtId="168" fontId="35" fillId="0" borderId="32" xfId="0" quotePrefix="1" applyNumberFormat="1" applyFont="1" applyBorder="1" applyAlignment="1">
      <alignment horizontal="left" vertical="center" wrapText="1" indent="3"/>
    </xf>
    <xf numFmtId="168" fontId="36" fillId="0" borderId="14" xfId="0" applyNumberFormat="1" applyFont="1" applyBorder="1" applyAlignment="1">
      <alignment horizontal="left" vertical="center" wrapText="1" indent="2"/>
    </xf>
    <xf numFmtId="168" fontId="35" fillId="0" borderId="59" xfId="0" applyNumberFormat="1" applyFont="1" applyBorder="1" applyAlignment="1">
      <alignment horizontal="left" vertical="center" wrapText="1" indent="2"/>
    </xf>
    <xf numFmtId="168" fontId="35" fillId="0" borderId="58" xfId="0" applyNumberFormat="1" applyFont="1" applyBorder="1" applyAlignment="1">
      <alignment horizontal="left" vertical="center" wrapText="1" indent="2"/>
    </xf>
    <xf numFmtId="168" fontId="35" fillId="0" borderId="32" xfId="0" quotePrefix="1" applyNumberFormat="1" applyFont="1" applyBorder="1" applyAlignment="1">
      <alignment horizontal="left" vertical="center" wrapText="1" indent="6"/>
    </xf>
    <xf numFmtId="168" fontId="36" fillId="0" borderId="32" xfId="0" quotePrefix="1" applyNumberFormat="1" applyFont="1" applyBorder="1" applyAlignment="1">
      <alignment horizontal="left" vertical="center" wrapText="1" indent="6"/>
    </xf>
    <xf numFmtId="168" fontId="36" fillId="0" borderId="34" xfId="0" applyNumberFormat="1" applyFont="1" applyBorder="1" applyAlignment="1">
      <alignment horizontal="left" vertical="center" wrapText="1" indent="1"/>
    </xf>
    <xf numFmtId="168" fontId="36" fillId="0" borderId="34" xfId="0" applyNumberFormat="1" applyFont="1" applyBorder="1" applyAlignment="1" applyProtection="1">
      <alignment horizontal="left" vertical="center" wrapText="1" indent="1"/>
      <protection locked="0"/>
    </xf>
    <xf numFmtId="168" fontId="35" fillId="0" borderId="34" xfId="0" applyNumberFormat="1" applyFont="1" applyBorder="1" applyAlignment="1" applyProtection="1">
      <alignment horizontal="left" vertical="center" wrapText="1" indent="1"/>
      <protection locked="0"/>
    </xf>
    <xf numFmtId="168" fontId="35" fillId="0" borderId="74" xfId="0" applyNumberFormat="1" applyFont="1" applyBorder="1" applyAlignment="1">
      <alignment horizontal="left" vertical="center" wrapText="1" indent="1"/>
    </xf>
    <xf numFmtId="0" fontId="3" fillId="0" borderId="59" xfId="0" applyFont="1" applyBorder="1" applyAlignment="1">
      <alignment vertical="center"/>
    </xf>
    <xf numFmtId="168" fontId="35" fillId="0" borderId="14" xfId="0" quotePrefix="1" applyNumberFormat="1" applyFont="1" applyBorder="1" applyAlignment="1">
      <alignment horizontal="left" vertical="center" wrapText="1" indent="3"/>
    </xf>
    <xf numFmtId="168" fontId="35" fillId="0" borderId="88" xfId="0" applyNumberFormat="1" applyFont="1" applyBorder="1" applyAlignment="1">
      <alignment horizontal="left" vertical="center" wrapText="1" indent="1"/>
    </xf>
    <xf numFmtId="168" fontId="35" fillId="0" borderId="22" xfId="0" applyNumberFormat="1" applyFont="1" applyBorder="1" applyAlignment="1">
      <alignment horizontal="left" vertical="center" wrapText="1" indent="1"/>
    </xf>
    <xf numFmtId="168" fontId="35" fillId="0" borderId="17" xfId="0" applyNumberFormat="1" applyFont="1" applyBorder="1" applyAlignment="1">
      <alignment horizontal="left" vertical="center" wrapText="1" indent="1"/>
    </xf>
    <xf numFmtId="168" fontId="35" fillId="0" borderId="11" xfId="0" quotePrefix="1" applyNumberFormat="1" applyFont="1" applyBorder="1" applyAlignment="1">
      <alignment horizontal="left" vertical="center" wrapText="1" indent="6"/>
    </xf>
    <xf numFmtId="168" fontId="36" fillId="0" borderId="11" xfId="0" quotePrefix="1" applyNumberFormat="1" applyFont="1" applyBorder="1" applyAlignment="1">
      <alignment horizontal="left" vertical="center" wrapText="1" indent="6"/>
    </xf>
    <xf numFmtId="168" fontId="35" fillId="0" borderId="16" xfId="0" applyNumberFormat="1" applyFont="1" applyBorder="1" applyAlignment="1">
      <alignment horizontal="left" vertical="center" wrapText="1" indent="1"/>
    </xf>
    <xf numFmtId="168" fontId="34" fillId="0" borderId="26" xfId="0" applyNumberFormat="1" applyFont="1" applyBorder="1" applyAlignment="1">
      <alignment horizontal="left" vertical="center" wrapText="1" indent="1"/>
    </xf>
    <xf numFmtId="168" fontId="36" fillId="0" borderId="22" xfId="0" applyNumberFormat="1" applyFont="1" applyBorder="1" applyAlignment="1">
      <alignment horizontal="left" vertical="center" wrapText="1" indent="1"/>
    </xf>
    <xf numFmtId="168" fontId="36" fillId="0" borderId="36" xfId="0" applyNumberFormat="1" applyFont="1" applyBorder="1" applyAlignment="1">
      <alignment horizontal="left" vertical="center" wrapText="1" indent="1"/>
    </xf>
    <xf numFmtId="168" fontId="36" fillId="0" borderId="17" xfId="0" applyNumberFormat="1" applyFont="1" applyBorder="1" applyAlignment="1">
      <alignment horizontal="left" vertical="center" wrapText="1" indent="1"/>
    </xf>
    <xf numFmtId="168" fontId="36" fillId="0" borderId="17" xfId="0" applyNumberFormat="1" applyFont="1" applyBorder="1" applyAlignment="1" applyProtection="1">
      <alignment horizontal="left" vertical="center" wrapText="1" indent="1"/>
      <protection locked="0"/>
    </xf>
    <xf numFmtId="168" fontId="35" fillId="0" borderId="17" xfId="0" applyNumberFormat="1" applyFont="1" applyBorder="1" applyAlignment="1" applyProtection="1">
      <alignment horizontal="left" vertical="center" wrapText="1" indent="1"/>
      <protection locked="0"/>
    </xf>
    <xf numFmtId="168" fontId="35" fillId="0" borderId="16" xfId="0" applyNumberFormat="1" applyFont="1" applyBorder="1" applyAlignment="1" applyProtection="1">
      <alignment horizontal="left" vertical="center" wrapText="1" indent="1"/>
      <protection locked="0"/>
    </xf>
    <xf numFmtId="168" fontId="37" fillId="0" borderId="37" xfId="0" applyNumberFormat="1" applyFont="1" applyBorder="1" applyAlignment="1">
      <alignment horizontal="right" vertical="center" wrapText="1" indent="1"/>
    </xf>
    <xf numFmtId="168" fontId="37" fillId="0" borderId="89" xfId="0" applyNumberFormat="1" applyFont="1" applyBorder="1" applyAlignment="1">
      <alignment horizontal="right" vertical="center" wrapText="1" indent="1"/>
    </xf>
    <xf numFmtId="168" fontId="37" fillId="0" borderId="86" xfId="0" applyNumberFormat="1" applyFont="1" applyBorder="1" applyAlignment="1">
      <alignment horizontal="right" vertical="center" wrapText="1" indent="1"/>
    </xf>
    <xf numFmtId="3" fontId="41" fillId="0" borderId="11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0" fontId="46" fillId="0" borderId="34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top"/>
    </xf>
    <xf numFmtId="168" fontId="32" fillId="0" borderId="56" xfId="0" applyNumberFormat="1" applyFont="1" applyBorder="1" applyAlignment="1">
      <alignment horizontal="center" vertical="center" wrapText="1"/>
    </xf>
    <xf numFmtId="168" fontId="36" fillId="0" borderId="59" xfId="0" applyNumberFormat="1" applyFont="1" applyBorder="1" applyAlignment="1">
      <alignment horizontal="left" vertical="center" wrapText="1" indent="1"/>
    </xf>
    <xf numFmtId="168" fontId="36" fillId="0" borderId="58" xfId="0" applyNumberFormat="1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top"/>
    </xf>
    <xf numFmtId="0" fontId="3" fillId="0" borderId="32" xfId="0" applyFont="1" applyBorder="1" applyAlignment="1">
      <alignment horizontal="left" vertical="center"/>
    </xf>
    <xf numFmtId="0" fontId="26" fillId="0" borderId="14" xfId="0" applyFont="1" applyBorder="1" applyAlignment="1">
      <alignment wrapText="1"/>
    </xf>
    <xf numFmtId="3" fontId="58" fillId="0" borderId="11" xfId="0" applyNumberFormat="1" applyFont="1" applyBorder="1" applyAlignment="1">
      <alignment horizontal="right" vertical="top" wrapText="1"/>
    </xf>
    <xf numFmtId="169" fontId="41" fillId="0" borderId="11" xfId="42" applyNumberFormat="1" applyFont="1" applyBorder="1" applyAlignment="1">
      <alignment horizontal="right" vertical="top" wrapText="1"/>
    </xf>
    <xf numFmtId="168" fontId="36" fillId="0" borderId="54" xfId="0" applyNumberFormat="1" applyFont="1" applyBorder="1" applyAlignment="1">
      <alignment horizontal="left" vertical="center" wrapText="1" indent="1"/>
    </xf>
    <xf numFmtId="168" fontId="36" fillId="0" borderId="79" xfId="0" applyNumberFormat="1" applyFont="1" applyBorder="1" applyAlignment="1">
      <alignment horizontal="left" vertical="center" wrapText="1" indent="1"/>
    </xf>
    <xf numFmtId="168" fontId="35" fillId="0" borderId="54" xfId="0" applyNumberFormat="1" applyFont="1" applyBorder="1" applyAlignment="1">
      <alignment horizontal="left" vertical="center" wrapText="1" indent="1"/>
    </xf>
    <xf numFmtId="168" fontId="35" fillId="0" borderId="90" xfId="0" applyNumberFormat="1" applyFont="1" applyBorder="1" applyAlignment="1">
      <alignment horizontal="left" vertical="center" wrapText="1" indent="1"/>
    </xf>
    <xf numFmtId="168" fontId="34" fillId="0" borderId="91" xfId="0" applyNumberFormat="1" applyFont="1" applyBorder="1" applyAlignment="1">
      <alignment horizontal="right" vertical="center" wrapText="1" indent="1"/>
    </xf>
    <xf numFmtId="168" fontId="35" fillId="0" borderId="92" xfId="0" applyNumberFormat="1" applyFont="1" applyBorder="1" applyAlignment="1">
      <alignment horizontal="left" vertical="center" wrapText="1" indent="1"/>
    </xf>
    <xf numFmtId="168" fontId="34" fillId="0" borderId="93" xfId="0" applyNumberFormat="1" applyFont="1" applyBorder="1" applyAlignment="1">
      <alignment horizontal="center" vertical="center" wrapText="1"/>
    </xf>
    <xf numFmtId="168" fontId="35" fillId="0" borderId="0" xfId="0" applyNumberFormat="1" applyFont="1" applyBorder="1" applyAlignment="1" applyProtection="1">
      <alignment horizontal="left" vertical="center" wrapText="1" indent="1"/>
      <protection locked="0"/>
    </xf>
    <xf numFmtId="168" fontId="35" fillId="0" borderId="69" xfId="0" applyNumberFormat="1" applyFont="1" applyBorder="1" applyAlignment="1">
      <alignment horizontal="left" vertical="center" wrapText="1" indent="1"/>
    </xf>
    <xf numFmtId="168" fontId="39" fillId="0" borderId="22" xfId="0" applyNumberFormat="1" applyFont="1" applyBorder="1" applyAlignment="1">
      <alignment horizontal="right" vertical="center" wrapText="1" indent="1"/>
    </xf>
    <xf numFmtId="168" fontId="39" fillId="0" borderId="74" xfId="0" applyNumberFormat="1" applyFont="1" applyBorder="1" applyAlignment="1">
      <alignment horizontal="right" vertical="center" wrapText="1" indent="1"/>
    </xf>
    <xf numFmtId="168" fontId="59" fillId="0" borderId="55" xfId="0" applyNumberFormat="1" applyFont="1" applyBorder="1" applyAlignment="1">
      <alignment horizontal="center" vertical="center" wrapText="1"/>
    </xf>
    <xf numFmtId="3" fontId="60" fillId="0" borderId="32" xfId="0" applyNumberFormat="1" applyFont="1" applyBorder="1" applyAlignment="1">
      <alignment vertical="center"/>
    </xf>
    <xf numFmtId="3" fontId="57" fillId="0" borderId="12" xfId="0" applyNumberFormat="1" applyFont="1" applyBorder="1" applyAlignment="1">
      <alignment horizontal="right" vertical="center"/>
    </xf>
    <xf numFmtId="3" fontId="6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2" fillId="26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center" wrapText="1"/>
    </xf>
    <xf numFmtId="0" fontId="42" fillId="24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9" xfId="0" applyFont="1" applyFill="1" applyBorder="1" applyAlignment="1">
      <alignment horizontal="center" vertical="center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7" fillId="28" borderId="11" xfId="0" applyFont="1" applyFill="1" applyBorder="1" applyAlignment="1">
      <alignment horizontal="left"/>
    </xf>
    <xf numFmtId="0" fontId="42" fillId="27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7" xfId="0" applyFont="1" applyFill="1" applyBorder="1" applyAlignment="1">
      <alignment horizontal="center" vertical="center" wrapText="1"/>
    </xf>
    <xf numFmtId="0" fontId="41" fillId="24" borderId="58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7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7" xfId="0" applyNumberFormat="1" applyFont="1" applyFill="1" applyBorder="1" applyAlignment="1">
      <alignment horizontal="center" vertical="center" wrapText="1"/>
    </xf>
    <xf numFmtId="3" fontId="41" fillId="24" borderId="58" xfId="0" applyNumberFormat="1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0" fontId="27" fillId="29" borderId="18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2" fillId="27" borderId="27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59" xfId="0" applyFont="1" applyFill="1" applyBorder="1" applyAlignment="1">
      <alignment horizontal="left" vertical="center" wrapText="1"/>
    </xf>
    <xf numFmtId="0" fontId="27" fillId="27" borderId="27" xfId="0" applyFont="1" applyFill="1" applyBorder="1" applyAlignment="1">
      <alignment horizontal="left" vertical="center" wrapText="1"/>
    </xf>
    <xf numFmtId="0" fontId="27" fillId="27" borderId="34" xfId="0" applyFont="1" applyFill="1" applyBorder="1" applyAlignment="1">
      <alignment horizontal="left" vertical="center" wrapText="1"/>
    </xf>
    <xf numFmtId="0" fontId="27" fillId="27" borderId="59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168" fontId="29" fillId="0" borderId="0" xfId="0" applyNumberFormat="1" applyFont="1" applyAlignment="1">
      <alignment horizontal="center" textRotation="180" wrapText="1"/>
    </xf>
    <xf numFmtId="168" fontId="31" fillId="0" borderId="38" xfId="0" applyNumberFormat="1" applyFont="1" applyBorder="1" applyAlignment="1">
      <alignment horizontal="center" vertical="center" wrapText="1"/>
    </xf>
    <xf numFmtId="168" fontId="31" fillId="0" borderId="43" xfId="0" applyNumberFormat="1" applyFont="1" applyBorder="1" applyAlignment="1">
      <alignment horizontal="center" vertical="center" wrapText="1"/>
    </xf>
    <xf numFmtId="168" fontId="31" fillId="0" borderId="60" xfId="0" applyNumberFormat="1" applyFont="1" applyBorder="1" applyAlignment="1">
      <alignment horizontal="center" vertical="center" wrapText="1"/>
    </xf>
    <xf numFmtId="168" fontId="31" fillId="0" borderId="61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8" fillId="1" borderId="62" xfId="0" applyFont="1" applyFill="1" applyBorder="1" applyAlignment="1">
      <alignment horizontal="left" vertical="center"/>
    </xf>
    <xf numFmtId="0" fontId="8" fillId="1" borderId="57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50" xfId="0" applyNumberFormat="1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7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7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56" fillId="1" borderId="18" xfId="0" applyFont="1" applyFill="1" applyBorder="1" applyAlignment="1">
      <alignment horizontal="left" vertical="center"/>
    </xf>
    <xf numFmtId="0" fontId="56" fillId="1" borderId="32" xfId="0" applyFont="1" applyFill="1" applyBorder="1" applyAlignment="1">
      <alignment horizontal="left" vertical="center"/>
    </xf>
    <xf numFmtId="0" fontId="56" fillId="1" borderId="14" xfId="0" applyFont="1" applyFill="1" applyBorder="1" applyAlignment="1">
      <alignment horizontal="left" vertical="center"/>
    </xf>
    <xf numFmtId="0" fontId="2" fillId="24" borderId="68" xfId="0" applyFont="1" applyFill="1" applyBorder="1" applyAlignment="1">
      <alignment horizontal="left" vertical="center"/>
    </xf>
    <xf numFmtId="0" fontId="2" fillId="24" borderId="69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24" borderId="26" xfId="0" applyFont="1" applyFill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8" fontId="32" fillId="0" borderId="38" xfId="0" applyNumberFormat="1" applyFont="1" applyBorder="1" applyAlignment="1">
      <alignment horizontal="center" vertical="center" wrapText="1"/>
    </xf>
    <xf numFmtId="168" fontId="32" fillId="0" borderId="43" xfId="0" applyNumberFormat="1" applyFont="1" applyBorder="1" applyAlignment="1">
      <alignment horizontal="center" vertical="center" wrapText="1"/>
    </xf>
    <xf numFmtId="168" fontId="32" fillId="0" borderId="67" xfId="0" applyNumberFormat="1" applyFont="1" applyBorder="1" applyAlignment="1">
      <alignment horizontal="center" vertical="center" wrapText="1"/>
    </xf>
    <xf numFmtId="168" fontId="32" fillId="0" borderId="21" xfId="0" applyNumberFormat="1" applyFont="1" applyBorder="1" applyAlignment="1">
      <alignment horizontal="center" vertical="center" wrapText="1"/>
    </xf>
    <xf numFmtId="168" fontId="32" fillId="0" borderId="75" xfId="0" applyNumberFormat="1" applyFont="1" applyBorder="1" applyAlignment="1">
      <alignment horizontal="center" vertical="center" wrapText="1"/>
    </xf>
    <xf numFmtId="168" fontId="32" fillId="0" borderId="16" xfId="0" applyNumberFormat="1" applyFont="1" applyBorder="1" applyAlignment="1">
      <alignment horizontal="center" vertical="center"/>
    </xf>
    <xf numFmtId="168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49" fontId="2" fillId="24" borderId="67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165" fontId="2" fillId="24" borderId="65" xfId="0" applyNumberFormat="1" applyFont="1" applyFill="1" applyBorder="1" applyAlignment="1">
      <alignment horizontal="center" vertical="center" wrapText="1"/>
    </xf>
    <xf numFmtId="165" fontId="2" fillId="24" borderId="52" xfId="0" applyNumberFormat="1" applyFont="1" applyFill="1" applyBorder="1" applyAlignment="1">
      <alignment horizontal="center" vertical="center" wrapText="1"/>
    </xf>
    <xf numFmtId="0" fontId="2" fillId="24" borderId="73" xfId="0" applyFont="1" applyFill="1" applyBorder="1" applyAlignment="1">
      <alignment horizontal="center" vertical="center" wrapText="1"/>
    </xf>
    <xf numFmtId="0" fontId="2" fillId="24" borderId="74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6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0" fillId="0" borderId="44" xfId="0" applyBorder="1"/>
    <xf numFmtId="0" fontId="3" fillId="0" borderId="4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42" builtinId="3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indexed="17"/>
    <pageSetUpPr fitToPage="1"/>
  </sheetPr>
  <dimension ref="A1:P48"/>
  <sheetViews>
    <sheetView zoomScaleNormal="100" workbookViewId="0">
      <selection activeCell="N36" sqref="N36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13.85546875" style="263" customWidth="1"/>
    <col min="6" max="6" width="15" style="263" bestFit="1" customWidth="1"/>
    <col min="7" max="8" width="13.85546875" style="263" customWidth="1"/>
    <col min="9" max="12" width="12.7109375" style="263" customWidth="1"/>
    <col min="13" max="16" width="14.42578125" style="263" customWidth="1"/>
  </cols>
  <sheetData>
    <row r="1" spans="1:16" ht="21.75" customHeight="1" x14ac:dyDescent="0.2">
      <c r="A1" s="465" t="s">
        <v>429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/>
      <c r="O1"/>
      <c r="P1"/>
    </row>
    <row r="2" spans="1:16" ht="28.5" customHeight="1" x14ac:dyDescent="0.2">
      <c r="A2" s="466" t="s">
        <v>101</v>
      </c>
      <c r="B2" s="466"/>
      <c r="C2" s="466"/>
      <c r="D2" s="466"/>
      <c r="E2" s="466"/>
      <c r="F2" s="466"/>
      <c r="G2" s="466"/>
      <c r="H2" s="466"/>
      <c r="I2" s="466"/>
      <c r="J2" s="431"/>
      <c r="K2" s="431"/>
      <c r="L2" s="431"/>
      <c r="N2" s="296"/>
      <c r="O2" s="296"/>
      <c r="P2" s="296" t="s">
        <v>380</v>
      </c>
    </row>
    <row r="3" spans="1:16" ht="36.75" customHeight="1" x14ac:dyDescent="0.2">
      <c r="A3" s="471" t="s">
        <v>36</v>
      </c>
      <c r="B3" s="472"/>
      <c r="C3" s="473"/>
      <c r="D3" s="314" t="s">
        <v>309</v>
      </c>
      <c r="E3" s="477" t="s">
        <v>370</v>
      </c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9"/>
    </row>
    <row r="4" spans="1:16" ht="30" x14ac:dyDescent="0.2">
      <c r="A4" s="474"/>
      <c r="B4" s="475"/>
      <c r="C4" s="476"/>
      <c r="D4" s="315"/>
      <c r="E4" s="172" t="s">
        <v>201</v>
      </c>
      <c r="F4" s="172" t="s">
        <v>426</v>
      </c>
      <c r="G4" s="172" t="s">
        <v>427</v>
      </c>
      <c r="H4" s="172" t="s">
        <v>428</v>
      </c>
      <c r="I4" s="172" t="s">
        <v>278</v>
      </c>
      <c r="J4" s="172" t="s">
        <v>426</v>
      </c>
      <c r="K4" s="172" t="s">
        <v>427</v>
      </c>
      <c r="L4" s="172" t="s">
        <v>428</v>
      </c>
      <c r="M4" s="172" t="s">
        <v>441</v>
      </c>
      <c r="N4" s="172" t="s">
        <v>433</v>
      </c>
      <c r="O4" s="172" t="s">
        <v>432</v>
      </c>
      <c r="P4" s="172" t="s">
        <v>428</v>
      </c>
    </row>
    <row r="5" spans="1:16" ht="17.25" customHeight="1" x14ac:dyDescent="0.2">
      <c r="A5" s="470" t="s">
        <v>37</v>
      </c>
      <c r="B5" s="168"/>
      <c r="C5" s="165" t="s">
        <v>223</v>
      </c>
      <c r="D5" s="165" t="s">
        <v>313</v>
      </c>
      <c r="E5" s="166">
        <v>75428581</v>
      </c>
      <c r="F5" s="166">
        <f>G5-E5</f>
        <v>23382844</v>
      </c>
      <c r="G5" s="166">
        <v>98811425</v>
      </c>
      <c r="H5" s="166">
        <v>51446543</v>
      </c>
      <c r="I5" s="166">
        <v>0</v>
      </c>
      <c r="J5" s="166">
        <f>K5-I5</f>
        <v>0</v>
      </c>
      <c r="K5" s="166"/>
      <c r="L5" s="166"/>
      <c r="M5" s="166">
        <f>E5+I5</f>
        <v>75428581</v>
      </c>
      <c r="N5" s="166">
        <f>F5+J5</f>
        <v>23382844</v>
      </c>
      <c r="O5" s="166">
        <f>G5+K5</f>
        <v>98811425</v>
      </c>
      <c r="P5" s="166">
        <f>H5+L5</f>
        <v>51446543</v>
      </c>
    </row>
    <row r="6" spans="1:16" ht="25.5" x14ac:dyDescent="0.2">
      <c r="A6" s="470"/>
      <c r="B6" s="168"/>
      <c r="C6" s="165" t="s">
        <v>224</v>
      </c>
      <c r="D6" s="165" t="s">
        <v>314</v>
      </c>
      <c r="E6" s="166">
        <v>144073630</v>
      </c>
      <c r="F6" s="166">
        <f t="shared" ref="F6:F8" si="0">G6-E6</f>
        <v>0</v>
      </c>
      <c r="G6" s="166">
        <v>144073630</v>
      </c>
      <c r="H6" s="166">
        <v>74918285</v>
      </c>
      <c r="I6" s="166">
        <v>0</v>
      </c>
      <c r="J6" s="166">
        <f t="shared" ref="J6:J8" si="1">K6-I6</f>
        <v>0</v>
      </c>
      <c r="K6" s="166"/>
      <c r="L6" s="166"/>
      <c r="M6" s="166">
        <f t="shared" ref="M6:M45" si="2">E6+I6</f>
        <v>144073630</v>
      </c>
      <c r="N6" s="166">
        <f t="shared" ref="N6:N45" si="3">F6+J6</f>
        <v>0</v>
      </c>
      <c r="O6" s="166">
        <f t="shared" ref="O6:O45" si="4">G6+K6</f>
        <v>144073630</v>
      </c>
      <c r="P6" s="166">
        <f t="shared" ref="P6:P45" si="5">H6+L6</f>
        <v>74918285</v>
      </c>
    </row>
    <row r="7" spans="1:16" ht="25.5" x14ac:dyDescent="0.2">
      <c r="A7" s="470"/>
      <c r="B7" s="168"/>
      <c r="C7" s="165" t="s">
        <v>225</v>
      </c>
      <c r="D7" s="165" t="s">
        <v>315</v>
      </c>
      <c r="E7" s="166">
        <f>59869158-494000</f>
        <v>59375158</v>
      </c>
      <c r="F7" s="166">
        <f t="shared" si="0"/>
        <v>2003647</v>
      </c>
      <c r="G7" s="166">
        <v>61378805</v>
      </c>
      <c r="H7" s="166">
        <v>32641612</v>
      </c>
      <c r="I7" s="166">
        <v>0</v>
      </c>
      <c r="J7" s="166">
        <f t="shared" si="1"/>
        <v>0</v>
      </c>
      <c r="K7" s="166"/>
      <c r="L7" s="166"/>
      <c r="M7" s="166">
        <f t="shared" si="2"/>
        <v>59375158</v>
      </c>
      <c r="N7" s="166">
        <f t="shared" si="3"/>
        <v>2003647</v>
      </c>
      <c r="O7" s="166">
        <f t="shared" si="4"/>
        <v>61378805</v>
      </c>
      <c r="P7" s="166">
        <f t="shared" si="5"/>
        <v>32641612</v>
      </c>
    </row>
    <row r="8" spans="1:16" ht="14.25" customHeight="1" x14ac:dyDescent="0.2">
      <c r="A8" s="470"/>
      <c r="B8" s="168"/>
      <c r="C8" s="165" t="s">
        <v>226</v>
      </c>
      <c r="D8" s="165" t="s">
        <v>316</v>
      </c>
      <c r="E8" s="166">
        <v>4115790</v>
      </c>
      <c r="F8" s="166">
        <f t="shared" si="0"/>
        <v>0</v>
      </c>
      <c r="G8" s="166">
        <v>4115790</v>
      </c>
      <c r="H8" s="166">
        <v>2140210</v>
      </c>
      <c r="I8" s="166">
        <v>0</v>
      </c>
      <c r="J8" s="166">
        <f t="shared" si="1"/>
        <v>0</v>
      </c>
      <c r="K8" s="166"/>
      <c r="L8" s="166"/>
      <c r="M8" s="166">
        <f t="shared" si="2"/>
        <v>4115790</v>
      </c>
      <c r="N8" s="166">
        <f t="shared" si="3"/>
        <v>0</v>
      </c>
      <c r="O8" s="166">
        <f t="shared" si="4"/>
        <v>4115790</v>
      </c>
      <c r="P8" s="166">
        <f t="shared" si="5"/>
        <v>2140210</v>
      </c>
    </row>
    <row r="9" spans="1:16" ht="18" customHeight="1" x14ac:dyDescent="0.2">
      <c r="A9" s="470"/>
      <c r="B9" s="467" t="s">
        <v>227</v>
      </c>
      <c r="C9" s="467"/>
      <c r="D9" s="316" t="s">
        <v>317</v>
      </c>
      <c r="E9" s="189">
        <f>SUM(E5:E8)</f>
        <v>282993159</v>
      </c>
      <c r="F9" s="189">
        <f t="shared" ref="F9:H9" si="6">SUM(F5:F8)</f>
        <v>25386491</v>
      </c>
      <c r="G9" s="189">
        <f t="shared" si="6"/>
        <v>308379650</v>
      </c>
      <c r="H9" s="189">
        <f t="shared" si="6"/>
        <v>161146650</v>
      </c>
      <c r="I9" s="189">
        <f>SUM(I5:I8)</f>
        <v>0</v>
      </c>
      <c r="J9" s="189">
        <f t="shared" ref="J9:L9" si="7">SUM(J5:J8)</f>
        <v>0</v>
      </c>
      <c r="K9" s="189">
        <f t="shared" si="7"/>
        <v>0</v>
      </c>
      <c r="L9" s="189">
        <f t="shared" si="7"/>
        <v>0</v>
      </c>
      <c r="M9" s="189">
        <f t="shared" si="2"/>
        <v>282993159</v>
      </c>
      <c r="N9" s="189">
        <f t="shared" si="3"/>
        <v>25386491</v>
      </c>
      <c r="O9" s="189">
        <f>G9+K9</f>
        <v>308379650</v>
      </c>
      <c r="P9" s="189">
        <f t="shared" si="5"/>
        <v>161146650</v>
      </c>
    </row>
    <row r="10" spans="1:16" x14ac:dyDescent="0.2">
      <c r="A10" s="470"/>
      <c r="B10" s="169"/>
      <c r="C10" s="203" t="s">
        <v>371</v>
      </c>
      <c r="D10" s="257" t="s">
        <v>318</v>
      </c>
      <c r="E10" s="166">
        <v>0</v>
      </c>
      <c r="F10" s="166">
        <f>G10-E10</f>
        <v>0</v>
      </c>
      <c r="G10" s="166"/>
      <c r="H10" s="166"/>
      <c r="I10" s="166">
        <v>0</v>
      </c>
      <c r="J10" s="166"/>
      <c r="K10" s="166"/>
      <c r="L10" s="166"/>
      <c r="M10" s="166">
        <f t="shared" si="2"/>
        <v>0</v>
      </c>
      <c r="N10" s="166">
        <f t="shared" si="3"/>
        <v>0</v>
      </c>
      <c r="O10" s="166">
        <f t="shared" si="4"/>
        <v>0</v>
      </c>
      <c r="P10" s="166">
        <f t="shared" si="5"/>
        <v>0</v>
      </c>
    </row>
    <row r="11" spans="1:16" x14ac:dyDescent="0.2">
      <c r="A11" s="470"/>
      <c r="B11" s="169"/>
      <c r="C11" s="162" t="s">
        <v>241</v>
      </c>
      <c r="D11" s="257" t="s">
        <v>318</v>
      </c>
      <c r="E11" s="166">
        <v>18648000</v>
      </c>
      <c r="F11" s="166">
        <f t="shared" ref="F11:F13" si="8">G11-E11</f>
        <v>1762500</v>
      </c>
      <c r="G11" s="166">
        <v>20410500</v>
      </c>
      <c r="H11" s="166">
        <v>12546000</v>
      </c>
      <c r="I11" s="166"/>
      <c r="J11" s="166"/>
      <c r="K11" s="166"/>
      <c r="L11" s="166"/>
      <c r="M11" s="166">
        <f t="shared" si="2"/>
        <v>18648000</v>
      </c>
      <c r="N11" s="166">
        <f t="shared" si="3"/>
        <v>1762500</v>
      </c>
      <c r="O11" s="166">
        <f t="shared" si="4"/>
        <v>20410500</v>
      </c>
      <c r="P11" s="166">
        <f t="shared" si="5"/>
        <v>12546000</v>
      </c>
    </row>
    <row r="12" spans="1:16" x14ac:dyDescent="0.2">
      <c r="A12" s="470"/>
      <c r="B12" s="169"/>
      <c r="C12" s="162" t="s">
        <v>242</v>
      </c>
      <c r="D12" s="257" t="s">
        <v>318</v>
      </c>
      <c r="E12" s="166">
        <v>4468659</v>
      </c>
      <c r="F12" s="166">
        <f t="shared" si="8"/>
        <v>0</v>
      </c>
      <c r="G12" s="166">
        <v>4468659</v>
      </c>
      <c r="H12" s="166">
        <v>1929649</v>
      </c>
      <c r="I12" s="166">
        <v>0</v>
      </c>
      <c r="J12" s="166"/>
      <c r="K12" s="166"/>
      <c r="L12" s="166"/>
      <c r="M12" s="166">
        <f t="shared" si="2"/>
        <v>4468659</v>
      </c>
      <c r="N12" s="166">
        <f t="shared" si="3"/>
        <v>0</v>
      </c>
      <c r="O12" s="166">
        <f t="shared" si="4"/>
        <v>4468659</v>
      </c>
      <c r="P12" s="166">
        <f t="shared" si="5"/>
        <v>1929649</v>
      </c>
    </row>
    <row r="13" spans="1:16" x14ac:dyDescent="0.2">
      <c r="A13" s="470"/>
      <c r="B13" s="169"/>
      <c r="C13" s="162" t="s">
        <v>243</v>
      </c>
      <c r="D13" s="257" t="s">
        <v>318</v>
      </c>
      <c r="E13" s="166">
        <v>29812489</v>
      </c>
      <c r="F13" s="166">
        <f t="shared" si="8"/>
        <v>0</v>
      </c>
      <c r="G13" s="166">
        <v>29812489</v>
      </c>
      <c r="H13" s="166">
        <v>3989064</v>
      </c>
      <c r="I13" s="166">
        <v>0</v>
      </c>
      <c r="J13" s="166"/>
      <c r="K13" s="166"/>
      <c r="L13" s="166"/>
      <c r="M13" s="166">
        <f t="shared" si="2"/>
        <v>29812489</v>
      </c>
      <c r="N13" s="166">
        <f t="shared" si="3"/>
        <v>0</v>
      </c>
      <c r="O13" s="166">
        <f t="shared" si="4"/>
        <v>29812489</v>
      </c>
      <c r="P13" s="166">
        <f t="shared" si="5"/>
        <v>3989064</v>
      </c>
    </row>
    <row r="14" spans="1:16" s="159" customFormat="1" ht="18.75" customHeight="1" x14ac:dyDescent="0.2">
      <c r="A14" s="470"/>
      <c r="B14" s="467" t="s">
        <v>244</v>
      </c>
      <c r="C14" s="467"/>
      <c r="D14" s="316" t="s">
        <v>318</v>
      </c>
      <c r="E14" s="189">
        <f>SUM(E10:E13)</f>
        <v>52929148</v>
      </c>
      <c r="F14" s="189">
        <f t="shared" ref="F14:H14" si="9">SUM(F10:F13)</f>
        <v>1762500</v>
      </c>
      <c r="G14" s="189">
        <f t="shared" si="9"/>
        <v>54691648</v>
      </c>
      <c r="H14" s="189">
        <f t="shared" si="9"/>
        <v>18464713</v>
      </c>
      <c r="I14" s="189">
        <f>SUM(I10:I13)</f>
        <v>0</v>
      </c>
      <c r="J14" s="189">
        <f t="shared" ref="J14:L14" si="10">SUM(J10:J13)</f>
        <v>0</v>
      </c>
      <c r="K14" s="189">
        <f t="shared" si="10"/>
        <v>0</v>
      </c>
      <c r="L14" s="189">
        <f t="shared" si="10"/>
        <v>0</v>
      </c>
      <c r="M14" s="189">
        <f t="shared" si="2"/>
        <v>52929148</v>
      </c>
      <c r="N14" s="189">
        <f t="shared" si="3"/>
        <v>1762500</v>
      </c>
      <c r="O14" s="189">
        <f t="shared" si="4"/>
        <v>54691648</v>
      </c>
      <c r="P14" s="189">
        <f t="shared" si="5"/>
        <v>18464713</v>
      </c>
    </row>
    <row r="15" spans="1:16" s="163" customFormat="1" ht="22.5" customHeight="1" x14ac:dyDescent="0.2">
      <c r="A15" s="470"/>
      <c r="B15" s="468" t="s">
        <v>245</v>
      </c>
      <c r="C15" s="468"/>
      <c r="D15" s="317" t="s">
        <v>319</v>
      </c>
      <c r="E15" s="190">
        <f t="shared" ref="E15:L15" si="11">E9+E14</f>
        <v>335922307</v>
      </c>
      <c r="F15" s="190">
        <f t="shared" si="11"/>
        <v>27148991</v>
      </c>
      <c r="G15" s="190">
        <f t="shared" si="11"/>
        <v>363071298</v>
      </c>
      <c r="H15" s="190">
        <f t="shared" si="11"/>
        <v>179611363</v>
      </c>
      <c r="I15" s="190">
        <f t="shared" si="11"/>
        <v>0</v>
      </c>
      <c r="J15" s="190">
        <f t="shared" si="11"/>
        <v>0</v>
      </c>
      <c r="K15" s="190">
        <f t="shared" si="11"/>
        <v>0</v>
      </c>
      <c r="L15" s="190">
        <f t="shared" si="11"/>
        <v>0</v>
      </c>
      <c r="M15" s="190">
        <f t="shared" si="2"/>
        <v>335922307</v>
      </c>
      <c r="N15" s="190">
        <f t="shared" si="3"/>
        <v>27148991</v>
      </c>
      <c r="O15" s="190">
        <f t="shared" si="4"/>
        <v>363071298</v>
      </c>
      <c r="P15" s="190">
        <f t="shared" si="5"/>
        <v>179611363</v>
      </c>
    </row>
    <row r="16" spans="1:16" s="159" customFormat="1" x14ac:dyDescent="0.2">
      <c r="A16" s="470" t="s">
        <v>38</v>
      </c>
      <c r="B16" s="467" t="s">
        <v>228</v>
      </c>
      <c r="C16" s="467"/>
      <c r="D16" s="316" t="s">
        <v>320</v>
      </c>
      <c r="E16" s="189">
        <v>6400000</v>
      </c>
      <c r="F16" s="189">
        <f>G16-E16</f>
        <v>0</v>
      </c>
      <c r="G16" s="189">
        <v>6400000</v>
      </c>
      <c r="H16" s="189">
        <v>3161645</v>
      </c>
      <c r="I16" s="189">
        <v>0</v>
      </c>
      <c r="J16" s="189"/>
      <c r="K16" s="189"/>
      <c r="L16" s="189"/>
      <c r="M16" s="189">
        <f t="shared" si="2"/>
        <v>6400000</v>
      </c>
      <c r="N16" s="189">
        <f t="shared" si="3"/>
        <v>0</v>
      </c>
      <c r="O16" s="189">
        <f t="shared" si="4"/>
        <v>6400000</v>
      </c>
      <c r="P16" s="189">
        <f t="shared" si="5"/>
        <v>3161645</v>
      </c>
    </row>
    <row r="17" spans="1:16" x14ac:dyDescent="0.2">
      <c r="A17" s="470"/>
      <c r="B17" s="168" t="s">
        <v>37</v>
      </c>
      <c r="C17" s="165" t="s">
        <v>220</v>
      </c>
      <c r="D17" s="165" t="s">
        <v>321</v>
      </c>
      <c r="E17" s="166">
        <v>161354000</v>
      </c>
      <c r="F17" s="166">
        <f t="shared" ref="F17:F19" si="12">G17-E17</f>
        <v>0</v>
      </c>
      <c r="G17" s="166">
        <v>161354000</v>
      </c>
      <c r="H17" s="166">
        <v>61831949</v>
      </c>
      <c r="I17" s="166">
        <v>0</v>
      </c>
      <c r="J17" s="166"/>
      <c r="K17" s="166"/>
      <c r="L17" s="166"/>
      <c r="M17" s="166">
        <f t="shared" si="2"/>
        <v>161354000</v>
      </c>
      <c r="N17" s="166">
        <f t="shared" si="3"/>
        <v>0</v>
      </c>
      <c r="O17" s="166">
        <f t="shared" si="4"/>
        <v>161354000</v>
      </c>
      <c r="P17" s="166">
        <f t="shared" si="5"/>
        <v>61831949</v>
      </c>
    </row>
    <row r="18" spans="1:16" x14ac:dyDescent="0.2">
      <c r="A18" s="470"/>
      <c r="B18" s="168" t="s">
        <v>38</v>
      </c>
      <c r="C18" s="165" t="s">
        <v>229</v>
      </c>
      <c r="D18" s="165" t="s">
        <v>322</v>
      </c>
      <c r="E18" s="166">
        <v>12900000</v>
      </c>
      <c r="F18" s="166">
        <f t="shared" si="12"/>
        <v>-12900000</v>
      </c>
      <c r="G18" s="166">
        <v>0</v>
      </c>
      <c r="H18" s="166">
        <v>0</v>
      </c>
      <c r="I18" s="166">
        <v>0</v>
      </c>
      <c r="J18" s="166"/>
      <c r="K18" s="166"/>
      <c r="L18" s="166"/>
      <c r="M18" s="166">
        <f t="shared" si="2"/>
        <v>12900000</v>
      </c>
      <c r="N18" s="166">
        <f t="shared" si="3"/>
        <v>-12900000</v>
      </c>
      <c r="O18" s="166">
        <f t="shared" si="4"/>
        <v>0</v>
      </c>
      <c r="P18" s="166">
        <f t="shared" si="5"/>
        <v>0</v>
      </c>
    </row>
    <row r="19" spans="1:16" x14ac:dyDescent="0.2">
      <c r="A19" s="470"/>
      <c r="B19" s="168" t="s">
        <v>39</v>
      </c>
      <c r="C19" s="165" t="s">
        <v>221</v>
      </c>
      <c r="D19" s="165" t="s">
        <v>323</v>
      </c>
      <c r="E19" s="166">
        <v>400000</v>
      </c>
      <c r="F19" s="166">
        <f t="shared" si="12"/>
        <v>0</v>
      </c>
      <c r="G19" s="166">
        <v>400000</v>
      </c>
      <c r="H19" s="166">
        <v>600</v>
      </c>
      <c r="I19" s="166">
        <v>0</v>
      </c>
      <c r="J19" s="166"/>
      <c r="K19" s="166"/>
      <c r="L19" s="166"/>
      <c r="M19" s="166">
        <f t="shared" si="2"/>
        <v>400000</v>
      </c>
      <c r="N19" s="166">
        <f t="shared" si="3"/>
        <v>0</v>
      </c>
      <c r="O19" s="166">
        <f t="shared" si="4"/>
        <v>400000</v>
      </c>
      <c r="P19" s="166">
        <f t="shared" si="5"/>
        <v>600</v>
      </c>
    </row>
    <row r="20" spans="1:16" ht="17.25" customHeight="1" x14ac:dyDescent="0.2">
      <c r="A20" s="470"/>
      <c r="B20" s="467" t="s">
        <v>275</v>
      </c>
      <c r="C20" s="467"/>
      <c r="D20" s="316" t="s">
        <v>324</v>
      </c>
      <c r="E20" s="189">
        <f t="shared" ref="E20:L20" si="13">SUM(E17:E19)</f>
        <v>174654000</v>
      </c>
      <c r="F20" s="189">
        <f t="shared" si="13"/>
        <v>-12900000</v>
      </c>
      <c r="G20" s="189">
        <f t="shared" si="13"/>
        <v>161754000</v>
      </c>
      <c r="H20" s="189">
        <f t="shared" si="13"/>
        <v>61832549</v>
      </c>
      <c r="I20" s="189">
        <f t="shared" si="13"/>
        <v>0</v>
      </c>
      <c r="J20" s="189">
        <f t="shared" si="13"/>
        <v>0</v>
      </c>
      <c r="K20" s="189">
        <f t="shared" si="13"/>
        <v>0</v>
      </c>
      <c r="L20" s="189">
        <f t="shared" si="13"/>
        <v>0</v>
      </c>
      <c r="M20" s="189">
        <f t="shared" si="2"/>
        <v>174654000</v>
      </c>
      <c r="N20" s="189">
        <f t="shared" si="3"/>
        <v>-12900000</v>
      </c>
      <c r="O20" s="189">
        <f t="shared" si="4"/>
        <v>161754000</v>
      </c>
      <c r="P20" s="189">
        <f t="shared" si="5"/>
        <v>61832549</v>
      </c>
    </row>
    <row r="21" spans="1:16" s="159" customFormat="1" ht="18.75" customHeight="1" x14ac:dyDescent="0.2">
      <c r="A21" s="470"/>
      <c r="B21" s="467" t="s">
        <v>222</v>
      </c>
      <c r="C21" s="467"/>
      <c r="D21" s="316" t="s">
        <v>325</v>
      </c>
      <c r="E21" s="189">
        <v>50000</v>
      </c>
      <c r="F21" s="189">
        <f>G21-E21</f>
        <v>25995</v>
      </c>
      <c r="G21" s="189">
        <v>75995</v>
      </c>
      <c r="H21" s="189">
        <v>75995</v>
      </c>
      <c r="I21" s="189">
        <v>0</v>
      </c>
      <c r="J21" s="189"/>
      <c r="K21" s="189"/>
      <c r="L21" s="189"/>
      <c r="M21" s="189">
        <f t="shared" si="2"/>
        <v>50000</v>
      </c>
      <c r="N21" s="189">
        <f t="shared" si="3"/>
        <v>25995</v>
      </c>
      <c r="O21" s="189">
        <f t="shared" si="4"/>
        <v>75995</v>
      </c>
      <c r="P21" s="189">
        <f t="shared" si="5"/>
        <v>75995</v>
      </c>
    </row>
    <row r="22" spans="1:16" s="163" customFormat="1" ht="18" customHeight="1" x14ac:dyDescent="0.2">
      <c r="A22" s="470"/>
      <c r="B22" s="468" t="s">
        <v>230</v>
      </c>
      <c r="C22" s="468"/>
      <c r="D22" s="317" t="s">
        <v>326</v>
      </c>
      <c r="E22" s="190">
        <f t="shared" ref="E22:L22" si="14">E16+E20+E21</f>
        <v>181104000</v>
      </c>
      <c r="F22" s="190">
        <f t="shared" si="14"/>
        <v>-12874005</v>
      </c>
      <c r="G22" s="190">
        <f t="shared" si="14"/>
        <v>168229995</v>
      </c>
      <c r="H22" s="190">
        <f t="shared" si="14"/>
        <v>65070189</v>
      </c>
      <c r="I22" s="190">
        <f t="shared" si="14"/>
        <v>0</v>
      </c>
      <c r="J22" s="190">
        <f t="shared" si="14"/>
        <v>0</v>
      </c>
      <c r="K22" s="190">
        <f t="shared" si="14"/>
        <v>0</v>
      </c>
      <c r="L22" s="190">
        <f t="shared" si="14"/>
        <v>0</v>
      </c>
      <c r="M22" s="190">
        <f t="shared" si="2"/>
        <v>181104000</v>
      </c>
      <c r="N22" s="190">
        <f t="shared" si="3"/>
        <v>-12874005</v>
      </c>
      <c r="O22" s="190">
        <f t="shared" si="4"/>
        <v>168229995</v>
      </c>
      <c r="P22" s="190">
        <f t="shared" si="5"/>
        <v>65070189</v>
      </c>
    </row>
    <row r="23" spans="1:16" x14ac:dyDescent="0.2">
      <c r="A23" s="470" t="s">
        <v>39</v>
      </c>
      <c r="B23" s="170"/>
      <c r="C23" s="165" t="s">
        <v>232</v>
      </c>
      <c r="D23" s="165" t="s">
        <v>327</v>
      </c>
      <c r="E23" s="166">
        <v>3189462</v>
      </c>
      <c r="F23" s="166">
        <f t="shared" ref="F23:F36" si="15">G23-E23</f>
        <v>319144</v>
      </c>
      <c r="G23" s="166">
        <v>3508606</v>
      </c>
      <c r="H23" s="166">
        <v>3508606</v>
      </c>
      <c r="I23" s="166">
        <v>0</v>
      </c>
      <c r="J23" s="166"/>
      <c r="K23" s="166"/>
      <c r="L23" s="166"/>
      <c r="M23" s="166">
        <f t="shared" si="2"/>
        <v>3189462</v>
      </c>
      <c r="N23" s="166">
        <f t="shared" si="3"/>
        <v>319144</v>
      </c>
      <c r="O23" s="166">
        <f t="shared" si="4"/>
        <v>3508606</v>
      </c>
      <c r="P23" s="166">
        <f t="shared" si="5"/>
        <v>3508606</v>
      </c>
    </row>
    <row r="24" spans="1:16" x14ac:dyDescent="0.2">
      <c r="A24" s="470"/>
      <c r="B24" s="170"/>
      <c r="C24" s="165" t="s">
        <v>233</v>
      </c>
      <c r="D24" s="165" t="s">
        <v>328</v>
      </c>
      <c r="E24" s="166">
        <v>114076</v>
      </c>
      <c r="F24" s="166">
        <f t="shared" si="15"/>
        <v>942499</v>
      </c>
      <c r="G24" s="166">
        <v>1056575</v>
      </c>
      <c r="H24" s="166">
        <v>1056575</v>
      </c>
      <c r="I24" s="166">
        <v>2000000</v>
      </c>
      <c r="J24" s="166">
        <f>K24-I24</f>
        <v>407000</v>
      </c>
      <c r="K24" s="166">
        <v>2407000</v>
      </c>
      <c r="L24" s="166">
        <v>879932</v>
      </c>
      <c r="M24" s="166">
        <f t="shared" si="2"/>
        <v>2114076</v>
      </c>
      <c r="N24" s="166">
        <f t="shared" si="3"/>
        <v>1349499</v>
      </c>
      <c r="O24" s="166">
        <f t="shared" si="4"/>
        <v>3463575</v>
      </c>
      <c r="P24" s="166">
        <f t="shared" si="5"/>
        <v>1936507</v>
      </c>
    </row>
    <row r="25" spans="1:16" x14ac:dyDescent="0.2">
      <c r="A25" s="470"/>
      <c r="B25" s="170"/>
      <c r="C25" s="165" t="s">
        <v>234</v>
      </c>
      <c r="D25" s="165" t="s">
        <v>329</v>
      </c>
      <c r="E25" s="166">
        <v>241672</v>
      </c>
      <c r="F25" s="166">
        <f t="shared" si="15"/>
        <v>0</v>
      </c>
      <c r="G25" s="166">
        <v>241672</v>
      </c>
      <c r="H25" s="166">
        <v>120836</v>
      </c>
      <c r="I25" s="166">
        <v>0</v>
      </c>
      <c r="J25" s="166">
        <f t="shared" ref="J25:J30" si="16">K25-I25</f>
        <v>0</v>
      </c>
      <c r="K25" s="166"/>
      <c r="L25" s="166"/>
      <c r="M25" s="166">
        <f t="shared" si="2"/>
        <v>241672</v>
      </c>
      <c r="N25" s="166">
        <f t="shared" si="3"/>
        <v>0</v>
      </c>
      <c r="O25" s="166">
        <f t="shared" si="4"/>
        <v>241672</v>
      </c>
      <c r="P25" s="166">
        <f t="shared" si="5"/>
        <v>120836</v>
      </c>
    </row>
    <row r="26" spans="1:16" x14ac:dyDescent="0.2">
      <c r="A26" s="470"/>
      <c r="B26" s="170"/>
      <c r="C26" s="165" t="s">
        <v>235</v>
      </c>
      <c r="D26" s="165" t="s">
        <v>330</v>
      </c>
      <c r="E26" s="166">
        <v>8478149</v>
      </c>
      <c r="F26" s="166">
        <f t="shared" si="15"/>
        <v>0</v>
      </c>
      <c r="G26" s="166">
        <v>8478149</v>
      </c>
      <c r="H26" s="166">
        <v>2994025</v>
      </c>
      <c r="I26" s="166">
        <v>0</v>
      </c>
      <c r="J26" s="166">
        <f t="shared" si="16"/>
        <v>0</v>
      </c>
      <c r="K26" s="166"/>
      <c r="L26" s="166"/>
      <c r="M26" s="166">
        <f t="shared" si="2"/>
        <v>8478149</v>
      </c>
      <c r="N26" s="166">
        <f t="shared" si="3"/>
        <v>0</v>
      </c>
      <c r="O26" s="166">
        <f t="shared" si="4"/>
        <v>8478149</v>
      </c>
      <c r="P26" s="166">
        <f t="shared" si="5"/>
        <v>2994025</v>
      </c>
    </row>
    <row r="27" spans="1:16" x14ac:dyDescent="0.2">
      <c r="A27" s="470"/>
      <c r="B27" s="170"/>
      <c r="C27" s="165" t="s">
        <v>236</v>
      </c>
      <c r="D27" s="165" t="s">
        <v>331</v>
      </c>
      <c r="E27" s="166">
        <v>2311234</v>
      </c>
      <c r="F27" s="166">
        <f t="shared" si="15"/>
        <v>0</v>
      </c>
      <c r="G27" s="166">
        <v>2311234</v>
      </c>
      <c r="H27" s="166">
        <v>963993</v>
      </c>
      <c r="I27" s="166">
        <v>0</v>
      </c>
      <c r="J27" s="166">
        <f t="shared" si="16"/>
        <v>0</v>
      </c>
      <c r="K27" s="166"/>
      <c r="L27" s="166"/>
      <c r="M27" s="166">
        <f t="shared" si="2"/>
        <v>2311234</v>
      </c>
      <c r="N27" s="166">
        <f t="shared" si="3"/>
        <v>0</v>
      </c>
      <c r="O27" s="166">
        <f t="shared" si="4"/>
        <v>2311234</v>
      </c>
      <c r="P27" s="166">
        <f t="shared" si="5"/>
        <v>963993</v>
      </c>
    </row>
    <row r="28" spans="1:16" x14ac:dyDescent="0.2">
      <c r="A28" s="470"/>
      <c r="B28" s="170"/>
      <c r="C28" s="165" t="s">
        <v>237</v>
      </c>
      <c r="D28" s="165" t="s">
        <v>332</v>
      </c>
      <c r="E28" s="166">
        <v>3435000</v>
      </c>
      <c r="F28" s="166">
        <f t="shared" si="15"/>
        <v>0</v>
      </c>
      <c r="G28" s="166">
        <v>3435000</v>
      </c>
      <c r="H28" s="166">
        <v>1628243</v>
      </c>
      <c r="I28" s="166">
        <v>0</v>
      </c>
      <c r="J28" s="166">
        <f t="shared" si="16"/>
        <v>0</v>
      </c>
      <c r="K28" s="166"/>
      <c r="L28" s="166"/>
      <c r="M28" s="166">
        <f t="shared" si="2"/>
        <v>3435000</v>
      </c>
      <c r="N28" s="166">
        <f t="shared" si="3"/>
        <v>0</v>
      </c>
      <c r="O28" s="166">
        <f t="shared" si="4"/>
        <v>3435000</v>
      </c>
      <c r="P28" s="166">
        <f t="shared" si="5"/>
        <v>1628243</v>
      </c>
    </row>
    <row r="29" spans="1:16" s="160" customFormat="1" x14ac:dyDescent="0.2">
      <c r="A29" s="470"/>
      <c r="B29" s="171"/>
      <c r="C29" s="165" t="s">
        <v>217</v>
      </c>
      <c r="D29" s="165" t="s">
        <v>333</v>
      </c>
      <c r="E29" s="166">
        <v>95000</v>
      </c>
      <c r="F29" s="166">
        <f t="shared" si="15"/>
        <v>1533899</v>
      </c>
      <c r="G29" s="166">
        <v>1628899</v>
      </c>
      <c r="H29" s="166">
        <v>1628899</v>
      </c>
      <c r="I29" s="166">
        <v>2000</v>
      </c>
      <c r="J29" s="166">
        <f t="shared" si="16"/>
        <v>0</v>
      </c>
      <c r="K29" s="166">
        <v>2000</v>
      </c>
      <c r="L29" s="166">
        <v>1085</v>
      </c>
      <c r="M29" s="166">
        <f t="shared" si="2"/>
        <v>97000</v>
      </c>
      <c r="N29" s="166">
        <f t="shared" si="3"/>
        <v>1533899</v>
      </c>
      <c r="O29" s="166">
        <f t="shared" si="4"/>
        <v>1630899</v>
      </c>
      <c r="P29" s="166">
        <f t="shared" si="5"/>
        <v>1629984</v>
      </c>
    </row>
    <row r="30" spans="1:16" x14ac:dyDescent="0.2">
      <c r="A30" s="470"/>
      <c r="B30" s="170"/>
      <c r="C30" s="165" t="s">
        <v>238</v>
      </c>
      <c r="D30" s="165" t="s">
        <v>334</v>
      </c>
      <c r="E30" s="166">
        <v>1010</v>
      </c>
      <c r="F30" s="166">
        <f t="shared" si="15"/>
        <v>64318</v>
      </c>
      <c r="G30" s="166">
        <v>65328</v>
      </c>
      <c r="H30" s="166">
        <v>65328</v>
      </c>
      <c r="I30" s="166">
        <v>0</v>
      </c>
      <c r="J30" s="166">
        <f t="shared" si="16"/>
        <v>0</v>
      </c>
      <c r="K30" s="166">
        <v>0</v>
      </c>
      <c r="L30" s="166">
        <v>9</v>
      </c>
      <c r="M30" s="166">
        <f t="shared" si="2"/>
        <v>1010</v>
      </c>
      <c r="N30" s="166">
        <f t="shared" si="3"/>
        <v>64318</v>
      </c>
      <c r="O30" s="166">
        <f t="shared" si="4"/>
        <v>65328</v>
      </c>
      <c r="P30" s="166">
        <f t="shared" si="5"/>
        <v>65337</v>
      </c>
    </row>
    <row r="31" spans="1:16" x14ac:dyDescent="0.2">
      <c r="A31" s="470"/>
      <c r="B31" s="469" t="s">
        <v>231</v>
      </c>
      <c r="C31" s="469"/>
      <c r="D31" s="313" t="s">
        <v>335</v>
      </c>
      <c r="E31" s="191">
        <f t="shared" ref="E31:L31" si="17">SUM(E23:E30)</f>
        <v>17865603</v>
      </c>
      <c r="F31" s="191">
        <f t="shared" si="17"/>
        <v>2859860</v>
      </c>
      <c r="G31" s="191">
        <f t="shared" si="17"/>
        <v>20725463</v>
      </c>
      <c r="H31" s="191">
        <f t="shared" si="17"/>
        <v>11966505</v>
      </c>
      <c r="I31" s="191">
        <f t="shared" si="17"/>
        <v>2002000</v>
      </c>
      <c r="J31" s="191">
        <f t="shared" si="17"/>
        <v>407000</v>
      </c>
      <c r="K31" s="191">
        <f t="shared" si="17"/>
        <v>2409000</v>
      </c>
      <c r="L31" s="191">
        <f t="shared" si="17"/>
        <v>881026</v>
      </c>
      <c r="M31" s="191">
        <f t="shared" si="2"/>
        <v>19867603</v>
      </c>
      <c r="N31" s="191">
        <f t="shared" si="3"/>
        <v>3266860</v>
      </c>
      <c r="O31" s="191">
        <f t="shared" si="4"/>
        <v>23134463</v>
      </c>
      <c r="P31" s="191">
        <f t="shared" si="5"/>
        <v>12847531</v>
      </c>
    </row>
    <row r="32" spans="1:16" ht="20.25" customHeight="1" x14ac:dyDescent="0.2">
      <c r="A32" s="470" t="s">
        <v>40</v>
      </c>
      <c r="B32" s="170"/>
      <c r="C32" s="165" t="s">
        <v>239</v>
      </c>
      <c r="D32" s="165" t="s">
        <v>423</v>
      </c>
      <c r="E32" s="166">
        <v>2372880</v>
      </c>
      <c r="F32" s="166">
        <f t="shared" si="15"/>
        <v>0</v>
      </c>
      <c r="G32" s="166">
        <v>2372880</v>
      </c>
      <c r="H32" s="166">
        <v>1186440</v>
      </c>
      <c r="I32" s="166">
        <v>0</v>
      </c>
      <c r="J32" s="166"/>
      <c r="K32" s="166"/>
      <c r="L32" s="166"/>
      <c r="M32" s="166">
        <f t="shared" si="2"/>
        <v>2372880</v>
      </c>
      <c r="N32" s="166">
        <f t="shared" si="3"/>
        <v>0</v>
      </c>
      <c r="O32" s="166">
        <f t="shared" si="4"/>
        <v>2372880</v>
      </c>
      <c r="P32" s="166">
        <f t="shared" si="5"/>
        <v>1186440</v>
      </c>
    </row>
    <row r="33" spans="1:16" ht="16.5" customHeight="1" x14ac:dyDescent="0.2">
      <c r="A33" s="470"/>
      <c r="B33" s="469" t="s">
        <v>218</v>
      </c>
      <c r="C33" s="469"/>
      <c r="D33" s="313" t="s">
        <v>423</v>
      </c>
      <c r="E33" s="191">
        <f t="shared" ref="E33:L33" si="18">SUM(E32)</f>
        <v>2372880</v>
      </c>
      <c r="F33" s="191">
        <f t="shared" si="18"/>
        <v>0</v>
      </c>
      <c r="G33" s="191">
        <f t="shared" si="18"/>
        <v>2372880</v>
      </c>
      <c r="H33" s="191">
        <f>SUM(H32)</f>
        <v>1186440</v>
      </c>
      <c r="I33" s="191">
        <f t="shared" si="18"/>
        <v>0</v>
      </c>
      <c r="J33" s="191">
        <f t="shared" si="18"/>
        <v>0</v>
      </c>
      <c r="K33" s="191">
        <f t="shared" si="18"/>
        <v>0</v>
      </c>
      <c r="L33" s="191">
        <f t="shared" si="18"/>
        <v>0</v>
      </c>
      <c r="M33" s="191">
        <f t="shared" si="2"/>
        <v>2372880</v>
      </c>
      <c r="N33" s="191">
        <f t="shared" si="3"/>
        <v>0</v>
      </c>
      <c r="O33" s="191">
        <f t="shared" si="4"/>
        <v>2372880</v>
      </c>
      <c r="P33" s="191">
        <f t="shared" si="5"/>
        <v>1186440</v>
      </c>
    </row>
    <row r="34" spans="1:16" ht="25.5" x14ac:dyDescent="0.2">
      <c r="A34" s="470" t="s">
        <v>41</v>
      </c>
      <c r="B34" s="170"/>
      <c r="C34" s="165" t="s">
        <v>240</v>
      </c>
      <c r="D34" s="165" t="s">
        <v>336</v>
      </c>
      <c r="E34" s="166">
        <v>707620</v>
      </c>
      <c r="F34" s="166">
        <f t="shared" si="15"/>
        <v>0</v>
      </c>
      <c r="G34" s="166">
        <v>707620</v>
      </c>
      <c r="H34" s="166">
        <v>233850</v>
      </c>
      <c r="I34" s="166">
        <v>0</v>
      </c>
      <c r="J34" s="166"/>
      <c r="K34" s="166"/>
      <c r="L34" s="166"/>
      <c r="M34" s="166">
        <f t="shared" si="2"/>
        <v>707620</v>
      </c>
      <c r="N34" s="166">
        <f t="shared" si="3"/>
        <v>0</v>
      </c>
      <c r="O34" s="166">
        <f t="shared" si="4"/>
        <v>707620</v>
      </c>
      <c r="P34" s="166">
        <f t="shared" si="5"/>
        <v>233850</v>
      </c>
    </row>
    <row r="35" spans="1:16" ht="25.5" x14ac:dyDescent="0.2">
      <c r="A35" s="470"/>
      <c r="B35" s="170"/>
      <c r="C35" s="165" t="s">
        <v>372</v>
      </c>
      <c r="D35" s="165" t="s">
        <v>417</v>
      </c>
      <c r="E35" s="166">
        <v>110732349</v>
      </c>
      <c r="F35" s="166">
        <f t="shared" si="15"/>
        <v>0</v>
      </c>
      <c r="G35" s="166">
        <v>110732349</v>
      </c>
      <c r="H35" s="166">
        <v>1183450</v>
      </c>
      <c r="I35" s="166"/>
      <c r="J35" s="166"/>
      <c r="K35" s="166"/>
      <c r="L35" s="166"/>
      <c r="M35" s="166">
        <f t="shared" si="2"/>
        <v>110732349</v>
      </c>
      <c r="N35" s="166">
        <f t="shared" si="3"/>
        <v>0</v>
      </c>
      <c r="O35" s="166">
        <f t="shared" si="4"/>
        <v>110732349</v>
      </c>
      <c r="P35" s="166">
        <f t="shared" si="5"/>
        <v>1183450</v>
      </c>
    </row>
    <row r="36" spans="1:16" x14ac:dyDescent="0.2">
      <c r="A36" s="470"/>
      <c r="B36" s="170"/>
      <c r="C36" s="165" t="s">
        <v>430</v>
      </c>
      <c r="D36" s="165" t="s">
        <v>431</v>
      </c>
      <c r="E36" s="166"/>
      <c r="F36" s="166">
        <f t="shared" si="15"/>
        <v>126128</v>
      </c>
      <c r="G36" s="166">
        <v>126128</v>
      </c>
      <c r="H36" s="166">
        <v>126128</v>
      </c>
      <c r="I36" s="166"/>
      <c r="J36" s="166"/>
      <c r="K36" s="166"/>
      <c r="L36" s="166"/>
      <c r="M36" s="166">
        <f t="shared" si="2"/>
        <v>0</v>
      </c>
      <c r="N36" s="166">
        <f t="shared" si="3"/>
        <v>126128</v>
      </c>
      <c r="O36" s="166">
        <f t="shared" si="4"/>
        <v>126128</v>
      </c>
      <c r="P36" s="166">
        <f t="shared" si="5"/>
        <v>126128</v>
      </c>
    </row>
    <row r="37" spans="1:16" x14ac:dyDescent="0.2">
      <c r="A37" s="470"/>
      <c r="B37" s="482" t="s">
        <v>373</v>
      </c>
      <c r="C37" s="469"/>
      <c r="D37" s="313"/>
      <c r="E37" s="191">
        <f>SUM(E34:E36)</f>
        <v>111439969</v>
      </c>
      <c r="F37" s="191">
        <f t="shared" ref="F37:H37" si="19">SUM(F34:F36)</f>
        <v>126128</v>
      </c>
      <c r="G37" s="191">
        <f t="shared" si="19"/>
        <v>111566097</v>
      </c>
      <c r="H37" s="191">
        <f t="shared" si="19"/>
        <v>1543428</v>
      </c>
      <c r="I37" s="191">
        <f>SUM(I34)</f>
        <v>0</v>
      </c>
      <c r="J37" s="191"/>
      <c r="K37" s="191"/>
      <c r="L37" s="191"/>
      <c r="M37" s="191">
        <f t="shared" si="2"/>
        <v>111439969</v>
      </c>
      <c r="N37" s="191">
        <f t="shared" si="3"/>
        <v>126128</v>
      </c>
      <c r="O37" s="191">
        <f t="shared" si="4"/>
        <v>111566097</v>
      </c>
      <c r="P37" s="191">
        <f t="shared" si="5"/>
        <v>1543428</v>
      </c>
    </row>
    <row r="38" spans="1:16" s="161" customFormat="1" ht="24.75" customHeight="1" x14ac:dyDescent="0.2">
      <c r="A38" s="481" t="s">
        <v>219</v>
      </c>
      <c r="B38" s="481"/>
      <c r="C38" s="481"/>
      <c r="D38" s="318" t="s">
        <v>337</v>
      </c>
      <c r="E38" s="192">
        <f t="shared" ref="E38:L38" si="20">E15+E22+E31+E33+E37</f>
        <v>648704759</v>
      </c>
      <c r="F38" s="192">
        <f t="shared" si="20"/>
        <v>17260974</v>
      </c>
      <c r="G38" s="192">
        <f t="shared" si="20"/>
        <v>665965733</v>
      </c>
      <c r="H38" s="192">
        <f t="shared" si="20"/>
        <v>259377925</v>
      </c>
      <c r="I38" s="192">
        <f t="shared" si="20"/>
        <v>2002000</v>
      </c>
      <c r="J38" s="192">
        <f t="shared" si="20"/>
        <v>407000</v>
      </c>
      <c r="K38" s="192">
        <f t="shared" si="20"/>
        <v>2409000</v>
      </c>
      <c r="L38" s="192">
        <f t="shared" si="20"/>
        <v>881026</v>
      </c>
      <c r="M38" s="192">
        <f t="shared" si="2"/>
        <v>650706759</v>
      </c>
      <c r="N38" s="192">
        <f t="shared" si="3"/>
        <v>17667974</v>
      </c>
      <c r="O38" s="192">
        <f t="shared" si="4"/>
        <v>668374733</v>
      </c>
      <c r="P38" s="192">
        <f t="shared" si="5"/>
        <v>260258951</v>
      </c>
    </row>
    <row r="39" spans="1:16" ht="24" customHeight="1" x14ac:dyDescent="0.2">
      <c r="A39" s="193"/>
      <c r="B39" s="170"/>
      <c r="C39" s="165" t="s">
        <v>281</v>
      </c>
      <c r="D39" s="165" t="s">
        <v>338</v>
      </c>
      <c r="E39" s="166">
        <f>400000000+250000000</f>
        <v>650000000</v>
      </c>
      <c r="F39" s="166">
        <f t="shared" ref="F39:F45" si="21">G39-E39</f>
        <v>0</v>
      </c>
      <c r="G39" s="166">
        <v>650000000</v>
      </c>
      <c r="H39" s="166"/>
      <c r="I39" s="166">
        <v>0</v>
      </c>
      <c r="J39" s="166"/>
      <c r="K39" s="166"/>
      <c r="L39" s="166"/>
      <c r="M39" s="166">
        <f t="shared" si="2"/>
        <v>650000000</v>
      </c>
      <c r="N39" s="166">
        <f t="shared" si="3"/>
        <v>0</v>
      </c>
      <c r="O39" s="166">
        <f t="shared" si="4"/>
        <v>650000000</v>
      </c>
      <c r="P39" s="166">
        <f t="shared" si="5"/>
        <v>0</v>
      </c>
    </row>
    <row r="40" spans="1:16" ht="18.75" customHeight="1" x14ac:dyDescent="0.2">
      <c r="A40" s="193"/>
      <c r="B40" s="482" t="s">
        <v>282</v>
      </c>
      <c r="C40" s="469"/>
      <c r="D40" s="313" t="s">
        <v>339</v>
      </c>
      <c r="E40" s="191">
        <f t="shared" ref="E40:L40" si="22">SUM(E39)</f>
        <v>650000000</v>
      </c>
      <c r="F40" s="191">
        <f t="shared" si="22"/>
        <v>0</v>
      </c>
      <c r="G40" s="191">
        <f t="shared" si="22"/>
        <v>650000000</v>
      </c>
      <c r="H40" s="191">
        <f t="shared" si="22"/>
        <v>0</v>
      </c>
      <c r="I40" s="191">
        <f t="shared" si="22"/>
        <v>0</v>
      </c>
      <c r="J40" s="191">
        <f t="shared" si="22"/>
        <v>0</v>
      </c>
      <c r="K40" s="191">
        <f t="shared" si="22"/>
        <v>0</v>
      </c>
      <c r="L40" s="191">
        <f t="shared" si="22"/>
        <v>0</v>
      </c>
      <c r="M40" s="191">
        <f t="shared" si="2"/>
        <v>650000000</v>
      </c>
      <c r="N40" s="191">
        <f t="shared" si="3"/>
        <v>0</v>
      </c>
      <c r="O40" s="191">
        <f t="shared" si="4"/>
        <v>650000000</v>
      </c>
      <c r="P40" s="191">
        <f t="shared" si="5"/>
        <v>0</v>
      </c>
    </row>
    <row r="41" spans="1:16" ht="17.25" customHeight="1" x14ac:dyDescent="0.2">
      <c r="A41" s="470" t="s">
        <v>46</v>
      </c>
      <c r="B41" s="170"/>
      <c r="C41" s="165" t="s">
        <v>247</v>
      </c>
      <c r="D41" s="165" t="s">
        <v>340</v>
      </c>
      <c r="E41" s="166">
        <v>65000000</v>
      </c>
      <c r="F41" s="166">
        <f t="shared" si="21"/>
        <v>0</v>
      </c>
      <c r="G41" s="166">
        <v>65000000</v>
      </c>
      <c r="H41" s="166"/>
      <c r="I41" s="166">
        <v>0</v>
      </c>
      <c r="J41" s="166"/>
      <c r="K41" s="166"/>
      <c r="L41" s="166"/>
      <c r="M41" s="166">
        <f t="shared" si="2"/>
        <v>65000000</v>
      </c>
      <c r="N41" s="166">
        <f t="shared" si="3"/>
        <v>0</v>
      </c>
      <c r="O41" s="166">
        <f t="shared" si="4"/>
        <v>65000000</v>
      </c>
      <c r="P41" s="166">
        <f t="shared" si="5"/>
        <v>0</v>
      </c>
    </row>
    <row r="42" spans="1:16" ht="18.75" customHeight="1" x14ac:dyDescent="0.2">
      <c r="A42" s="470"/>
      <c r="B42" s="469" t="s">
        <v>246</v>
      </c>
      <c r="C42" s="469"/>
      <c r="D42" s="313" t="s">
        <v>340</v>
      </c>
      <c r="E42" s="191">
        <f t="shared" ref="E42:L42" si="23">SUM(E41)</f>
        <v>65000000</v>
      </c>
      <c r="F42" s="191">
        <f t="shared" si="23"/>
        <v>0</v>
      </c>
      <c r="G42" s="191">
        <f t="shared" si="23"/>
        <v>65000000</v>
      </c>
      <c r="H42" s="191">
        <f t="shared" si="23"/>
        <v>0</v>
      </c>
      <c r="I42" s="191">
        <f t="shared" si="23"/>
        <v>0</v>
      </c>
      <c r="J42" s="191">
        <f t="shared" si="23"/>
        <v>0</v>
      </c>
      <c r="K42" s="191">
        <f t="shared" si="23"/>
        <v>0</v>
      </c>
      <c r="L42" s="191">
        <f t="shared" si="23"/>
        <v>0</v>
      </c>
      <c r="M42" s="191">
        <f t="shared" si="2"/>
        <v>65000000</v>
      </c>
      <c r="N42" s="191">
        <f t="shared" si="3"/>
        <v>0</v>
      </c>
      <c r="O42" s="191">
        <f t="shared" si="4"/>
        <v>65000000</v>
      </c>
      <c r="P42" s="191">
        <f t="shared" si="5"/>
        <v>0</v>
      </c>
    </row>
    <row r="43" spans="1:16" ht="15" customHeight="1" x14ac:dyDescent="0.2">
      <c r="A43" s="470" t="s">
        <v>48</v>
      </c>
      <c r="B43" s="170"/>
      <c r="C43" s="165" t="s">
        <v>276</v>
      </c>
      <c r="D43" s="165" t="s">
        <v>419</v>
      </c>
      <c r="E43" s="166">
        <v>141599305</v>
      </c>
      <c r="F43" s="166">
        <f t="shared" si="21"/>
        <v>0</v>
      </c>
      <c r="G43" s="166">
        <v>141599305</v>
      </c>
      <c r="H43" s="166">
        <v>141599305</v>
      </c>
      <c r="I43" s="166">
        <v>941822</v>
      </c>
      <c r="J43" s="166">
        <f>K43-I43</f>
        <v>0</v>
      </c>
      <c r="K43" s="166">
        <v>941822</v>
      </c>
      <c r="L43" s="166">
        <v>941822</v>
      </c>
      <c r="M43" s="166">
        <f t="shared" si="2"/>
        <v>142541127</v>
      </c>
      <c r="N43" s="166">
        <f t="shared" si="3"/>
        <v>0</v>
      </c>
      <c r="O43" s="166">
        <f t="shared" si="4"/>
        <v>142541127</v>
      </c>
      <c r="P43" s="166">
        <f t="shared" si="5"/>
        <v>142541127</v>
      </c>
    </row>
    <row r="44" spans="1:16" ht="17.25" customHeight="1" x14ac:dyDescent="0.2">
      <c r="A44" s="470"/>
      <c r="B44" s="469" t="s">
        <v>248</v>
      </c>
      <c r="C44" s="469"/>
      <c r="D44" s="313" t="s">
        <v>420</v>
      </c>
      <c r="E44" s="191">
        <f t="shared" ref="E44:L44" si="24">SUM(E43)</f>
        <v>141599305</v>
      </c>
      <c r="F44" s="191">
        <f t="shared" si="24"/>
        <v>0</v>
      </c>
      <c r="G44" s="191">
        <f t="shared" si="24"/>
        <v>141599305</v>
      </c>
      <c r="H44" s="191">
        <f t="shared" si="24"/>
        <v>141599305</v>
      </c>
      <c r="I44" s="191">
        <f t="shared" si="24"/>
        <v>941822</v>
      </c>
      <c r="J44" s="191">
        <f t="shared" si="24"/>
        <v>0</v>
      </c>
      <c r="K44" s="191">
        <f t="shared" si="24"/>
        <v>941822</v>
      </c>
      <c r="L44" s="191">
        <f t="shared" si="24"/>
        <v>941822</v>
      </c>
      <c r="M44" s="191">
        <f t="shared" si="2"/>
        <v>142541127</v>
      </c>
      <c r="N44" s="191">
        <f t="shared" si="3"/>
        <v>0</v>
      </c>
      <c r="O44" s="191">
        <f t="shared" si="4"/>
        <v>142541127</v>
      </c>
      <c r="P44" s="191">
        <f t="shared" si="5"/>
        <v>142541127</v>
      </c>
    </row>
    <row r="45" spans="1:16" ht="15.75" customHeight="1" x14ac:dyDescent="0.2">
      <c r="A45" s="483" t="s">
        <v>49</v>
      </c>
      <c r="B45" s="170"/>
      <c r="C45" s="165" t="s">
        <v>279</v>
      </c>
      <c r="D45" s="165" t="s">
        <v>341</v>
      </c>
      <c r="E45" s="166">
        <v>0</v>
      </c>
      <c r="F45" s="166">
        <f t="shared" si="21"/>
        <v>0</v>
      </c>
      <c r="G45" s="166"/>
      <c r="H45" s="166"/>
      <c r="I45" s="166">
        <v>105524914</v>
      </c>
      <c r="J45" s="166">
        <f>K45-I45</f>
        <v>0</v>
      </c>
      <c r="K45" s="166">
        <v>105524914</v>
      </c>
      <c r="L45" s="166">
        <v>52673153</v>
      </c>
      <c r="M45" s="166">
        <f t="shared" si="2"/>
        <v>105524914</v>
      </c>
      <c r="N45" s="166">
        <f t="shared" si="3"/>
        <v>0</v>
      </c>
      <c r="O45" s="166">
        <f t="shared" si="4"/>
        <v>105524914</v>
      </c>
      <c r="P45" s="166">
        <f t="shared" si="5"/>
        <v>52673153</v>
      </c>
    </row>
    <row r="46" spans="1:16" ht="18" customHeight="1" x14ac:dyDescent="0.2">
      <c r="A46" s="484"/>
      <c r="B46" s="469" t="s">
        <v>280</v>
      </c>
      <c r="C46" s="469"/>
      <c r="D46" s="313" t="s">
        <v>342</v>
      </c>
      <c r="E46" s="191">
        <f t="shared" ref="E46:P46" si="25">SUM(E45)</f>
        <v>0</v>
      </c>
      <c r="F46" s="191"/>
      <c r="G46" s="191"/>
      <c r="H46" s="191"/>
      <c r="I46" s="191">
        <f t="shared" si="25"/>
        <v>105524914</v>
      </c>
      <c r="J46" s="191">
        <f t="shared" si="25"/>
        <v>0</v>
      </c>
      <c r="K46" s="191">
        <f t="shared" si="25"/>
        <v>105524914</v>
      </c>
      <c r="L46" s="191">
        <f t="shared" si="25"/>
        <v>52673153</v>
      </c>
      <c r="M46" s="191">
        <f t="shared" si="25"/>
        <v>105524914</v>
      </c>
      <c r="N46" s="191">
        <f t="shared" si="25"/>
        <v>0</v>
      </c>
      <c r="O46" s="191">
        <f t="shared" si="25"/>
        <v>105524914</v>
      </c>
      <c r="P46" s="191">
        <f t="shared" si="25"/>
        <v>52673153</v>
      </c>
    </row>
    <row r="47" spans="1:16" s="163" customFormat="1" ht="21.75" customHeight="1" x14ac:dyDescent="0.2">
      <c r="A47" s="481" t="s">
        <v>249</v>
      </c>
      <c r="B47" s="481"/>
      <c r="C47" s="481"/>
      <c r="D47" s="318" t="s">
        <v>343</v>
      </c>
      <c r="E47" s="192">
        <f>E42+E44+E46+E40</f>
        <v>856599305</v>
      </c>
      <c r="F47" s="192">
        <f t="shared" ref="F47:H47" si="26">F42+F44+F46+F40</f>
        <v>0</v>
      </c>
      <c r="G47" s="192">
        <f t="shared" si="26"/>
        <v>856599305</v>
      </c>
      <c r="H47" s="192">
        <f t="shared" si="26"/>
        <v>141599305</v>
      </c>
      <c r="I47" s="192">
        <f t="shared" ref="I47:P47" si="27">I42+I44+I46+I40</f>
        <v>106466736</v>
      </c>
      <c r="J47" s="192">
        <f t="shared" si="27"/>
        <v>0</v>
      </c>
      <c r="K47" s="192">
        <f t="shared" si="27"/>
        <v>106466736</v>
      </c>
      <c r="L47" s="192">
        <f t="shared" si="27"/>
        <v>53614975</v>
      </c>
      <c r="M47" s="192">
        <f t="shared" si="27"/>
        <v>963066041</v>
      </c>
      <c r="N47" s="192">
        <f t="shared" si="27"/>
        <v>0</v>
      </c>
      <c r="O47" s="192">
        <f t="shared" si="27"/>
        <v>963066041</v>
      </c>
      <c r="P47" s="192">
        <f t="shared" si="27"/>
        <v>195214280</v>
      </c>
    </row>
    <row r="48" spans="1:16" s="177" customFormat="1" ht="22.5" customHeight="1" x14ac:dyDescent="0.25">
      <c r="A48" s="480" t="s">
        <v>250</v>
      </c>
      <c r="B48" s="480"/>
      <c r="C48" s="480"/>
      <c r="D48" s="310"/>
      <c r="E48" s="176">
        <f>E38+E47</f>
        <v>1505304064</v>
      </c>
      <c r="F48" s="176">
        <f t="shared" ref="F48:H48" si="28">F38+F47</f>
        <v>17260974</v>
      </c>
      <c r="G48" s="176">
        <f t="shared" si="28"/>
        <v>1522565038</v>
      </c>
      <c r="H48" s="176">
        <f t="shared" si="28"/>
        <v>400977230</v>
      </c>
      <c r="I48" s="176">
        <f t="shared" ref="I48:P48" si="29">I38+I47</f>
        <v>108468736</v>
      </c>
      <c r="J48" s="176">
        <f t="shared" si="29"/>
        <v>407000</v>
      </c>
      <c r="K48" s="176">
        <f t="shared" si="29"/>
        <v>108875736</v>
      </c>
      <c r="L48" s="176">
        <f t="shared" si="29"/>
        <v>54496001</v>
      </c>
      <c r="M48" s="176">
        <f t="shared" si="29"/>
        <v>1613772800</v>
      </c>
      <c r="N48" s="176">
        <f t="shared" si="29"/>
        <v>17667974</v>
      </c>
      <c r="O48" s="176">
        <f t="shared" si="29"/>
        <v>1631440774</v>
      </c>
      <c r="P48" s="176">
        <f t="shared" si="29"/>
        <v>455473231</v>
      </c>
    </row>
  </sheetData>
  <mergeCells count="29">
    <mergeCell ref="A48:C48"/>
    <mergeCell ref="A41:A42"/>
    <mergeCell ref="A43:A44"/>
    <mergeCell ref="A38:C38"/>
    <mergeCell ref="B22:C22"/>
    <mergeCell ref="B37:C37"/>
    <mergeCell ref="A34:A37"/>
    <mergeCell ref="A32:A33"/>
    <mergeCell ref="A47:C47"/>
    <mergeCell ref="B42:C42"/>
    <mergeCell ref="B44:C44"/>
    <mergeCell ref="A16:A22"/>
    <mergeCell ref="B33:C33"/>
    <mergeCell ref="B46:C46"/>
    <mergeCell ref="A45:A46"/>
    <mergeCell ref="B40:C40"/>
    <mergeCell ref="A1:M1"/>
    <mergeCell ref="A2:I2"/>
    <mergeCell ref="B21:C21"/>
    <mergeCell ref="B15:C15"/>
    <mergeCell ref="B31:C31"/>
    <mergeCell ref="A23:A31"/>
    <mergeCell ref="B16:C16"/>
    <mergeCell ref="B20:C20"/>
    <mergeCell ref="B9:C9"/>
    <mergeCell ref="B14:C14"/>
    <mergeCell ref="A5:A15"/>
    <mergeCell ref="A3:C4"/>
    <mergeCell ref="E3:P3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83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4"/>
  <sheetViews>
    <sheetView workbookViewId="0">
      <selection activeCell="J7" sqref="J7"/>
    </sheetView>
  </sheetViews>
  <sheetFormatPr defaultRowHeight="15" customHeight="1" x14ac:dyDescent="0.2"/>
  <cols>
    <col min="1" max="1" width="6.5703125" style="70" customWidth="1"/>
    <col min="2" max="2" width="39.28515625" style="2" customWidth="1"/>
    <col min="3" max="3" width="17.85546875" style="2" customWidth="1"/>
    <col min="4" max="4" width="16.28515625" style="2" customWidth="1"/>
    <col min="5" max="5" width="12.28515625" style="2" customWidth="1"/>
    <col min="6" max="16384" width="9.140625" style="2"/>
  </cols>
  <sheetData>
    <row r="1" spans="1:5" ht="15" customHeight="1" x14ac:dyDescent="0.2">
      <c r="A1" s="465" t="s">
        <v>440</v>
      </c>
      <c r="B1" s="465"/>
      <c r="C1" s="465"/>
      <c r="D1" s="465"/>
      <c r="E1" s="465"/>
    </row>
    <row r="3" spans="1:5" ht="15" customHeight="1" thickBot="1" x14ac:dyDescent="0.25"/>
    <row r="4" spans="1:5" ht="42" customHeight="1" thickBot="1" x14ac:dyDescent="0.25">
      <c r="A4" s="600" t="s">
        <v>85</v>
      </c>
      <c r="B4" s="602" t="s">
        <v>86</v>
      </c>
      <c r="C4" s="604" t="s">
        <v>376</v>
      </c>
      <c r="D4" s="605"/>
      <c r="E4" s="71" t="s">
        <v>87</v>
      </c>
    </row>
    <row r="5" spans="1:5" ht="25.5" customHeight="1" thickBot="1" x14ac:dyDescent="0.25">
      <c r="A5" s="601"/>
      <c r="B5" s="603"/>
      <c r="C5" s="72" t="s">
        <v>88</v>
      </c>
      <c r="D5" s="158" t="s">
        <v>89</v>
      </c>
      <c r="E5" s="73"/>
    </row>
    <row r="6" spans="1:5" ht="15" customHeight="1" x14ac:dyDescent="0.2">
      <c r="A6" s="74" t="s">
        <v>37</v>
      </c>
      <c r="B6" s="75" t="s">
        <v>90</v>
      </c>
      <c r="C6" s="76">
        <v>1</v>
      </c>
      <c r="D6" s="77"/>
      <c r="E6" s="77"/>
    </row>
    <row r="7" spans="1:5" ht="15" customHeight="1" x14ac:dyDescent="0.2">
      <c r="A7" s="74" t="s">
        <v>38</v>
      </c>
      <c r="B7" s="78" t="s">
        <v>91</v>
      </c>
      <c r="C7" s="79">
        <f>1+6</f>
        <v>7</v>
      </c>
      <c r="D7" s="80"/>
      <c r="E7" s="77"/>
    </row>
    <row r="8" spans="1:5" ht="15" customHeight="1" x14ac:dyDescent="0.2">
      <c r="A8" s="74" t="s">
        <v>39</v>
      </c>
      <c r="B8" s="81" t="s">
        <v>92</v>
      </c>
      <c r="C8" s="79">
        <v>2</v>
      </c>
      <c r="D8" s="80"/>
      <c r="E8" s="77"/>
    </row>
    <row r="9" spans="1:5" ht="15" customHeight="1" x14ac:dyDescent="0.2">
      <c r="A9" s="74" t="s">
        <v>40</v>
      </c>
      <c r="B9" s="78" t="s">
        <v>93</v>
      </c>
      <c r="C9" s="79">
        <v>1</v>
      </c>
      <c r="D9" s="80"/>
      <c r="E9" s="77"/>
    </row>
    <row r="10" spans="1:5" ht="15" customHeight="1" x14ac:dyDescent="0.2">
      <c r="A10" s="74" t="s">
        <v>41</v>
      </c>
      <c r="B10" s="78" t="s">
        <v>94</v>
      </c>
      <c r="C10" s="79">
        <v>2</v>
      </c>
      <c r="D10" s="80"/>
      <c r="E10" s="77"/>
    </row>
    <row r="11" spans="1:5" ht="15" customHeight="1" x14ac:dyDescent="0.2">
      <c r="A11" s="74" t="s">
        <v>46</v>
      </c>
      <c r="B11" s="81" t="s">
        <v>95</v>
      </c>
      <c r="C11" s="79">
        <v>1</v>
      </c>
      <c r="D11" s="80"/>
      <c r="E11" s="77"/>
    </row>
    <row r="12" spans="1:5" ht="15" customHeight="1" x14ac:dyDescent="0.2">
      <c r="A12" s="74" t="s">
        <v>48</v>
      </c>
      <c r="B12" s="81" t="s">
        <v>96</v>
      </c>
      <c r="C12" s="79">
        <v>6</v>
      </c>
      <c r="D12" s="80"/>
      <c r="E12" s="77"/>
    </row>
    <row r="13" spans="1:5" ht="15" customHeight="1" x14ac:dyDescent="0.2">
      <c r="A13" s="74" t="s">
        <v>49</v>
      </c>
      <c r="B13" s="13" t="s">
        <v>202</v>
      </c>
      <c r="C13" s="79">
        <v>0</v>
      </c>
      <c r="D13" s="80"/>
      <c r="E13" s="77"/>
    </row>
    <row r="14" spans="1:5" ht="15" customHeight="1" x14ac:dyDescent="0.2">
      <c r="A14" s="74" t="s">
        <v>50</v>
      </c>
      <c r="B14" s="81" t="s">
        <v>97</v>
      </c>
      <c r="C14" s="82"/>
      <c r="D14" s="83">
        <v>16</v>
      </c>
      <c r="E14" s="77"/>
    </row>
    <row r="15" spans="1:5" ht="15" customHeight="1" x14ac:dyDescent="0.2">
      <c r="A15" s="74" t="s">
        <v>51</v>
      </c>
      <c r="B15" s="78" t="s">
        <v>98</v>
      </c>
      <c r="C15" s="82"/>
      <c r="D15" s="83">
        <v>1</v>
      </c>
      <c r="E15" s="77"/>
    </row>
    <row r="16" spans="1:5" ht="15" customHeight="1" x14ac:dyDescent="0.2">
      <c r="A16" s="74" t="s">
        <v>23</v>
      </c>
      <c r="B16" s="78" t="s">
        <v>203</v>
      </c>
      <c r="C16" s="79">
        <v>1</v>
      </c>
      <c r="D16" s="83"/>
      <c r="E16" s="77"/>
    </row>
    <row r="17" spans="1:5" ht="15" customHeight="1" x14ac:dyDescent="0.2">
      <c r="A17" s="74" t="s">
        <v>23</v>
      </c>
      <c r="B17" s="78"/>
      <c r="C17" s="79"/>
      <c r="D17" s="80"/>
      <c r="E17" s="77"/>
    </row>
    <row r="18" spans="1:5" ht="15" customHeight="1" x14ac:dyDescent="0.2">
      <c r="A18" s="74" t="s">
        <v>24</v>
      </c>
      <c r="B18" s="81"/>
      <c r="C18" s="79"/>
      <c r="D18" s="80"/>
      <c r="E18" s="77"/>
    </row>
    <row r="19" spans="1:5" ht="15" customHeight="1" x14ac:dyDescent="0.2">
      <c r="A19" s="74" t="s">
        <v>28</v>
      </c>
      <c r="B19" s="84"/>
      <c r="C19" s="79"/>
      <c r="D19" s="80"/>
      <c r="E19" s="77"/>
    </row>
    <row r="20" spans="1:5" ht="15" customHeight="1" x14ac:dyDescent="0.2">
      <c r="A20" s="74"/>
      <c r="B20" s="84"/>
      <c r="C20" s="79"/>
      <c r="D20" s="80"/>
      <c r="E20" s="77"/>
    </row>
    <row r="21" spans="1:5" ht="15" customHeight="1" x14ac:dyDescent="0.2">
      <c r="A21" s="74" t="s">
        <v>25</v>
      </c>
      <c r="B21" s="81"/>
      <c r="C21" s="79"/>
      <c r="D21" s="80"/>
      <c r="E21" s="77"/>
    </row>
    <row r="22" spans="1:5" ht="15" customHeight="1" thickBot="1" x14ac:dyDescent="0.25">
      <c r="A22" s="74" t="s">
        <v>54</v>
      </c>
      <c r="B22" s="75"/>
      <c r="C22" s="85"/>
      <c r="D22" s="77"/>
      <c r="E22" s="86"/>
    </row>
    <row r="23" spans="1:5" s="13" customFormat="1" ht="18" customHeight="1" thickBot="1" x14ac:dyDescent="0.25">
      <c r="A23" s="598" t="s">
        <v>99</v>
      </c>
      <c r="B23" s="599"/>
      <c r="C23" s="87">
        <f>SUM(C6:C22)</f>
        <v>21</v>
      </c>
      <c r="D23" s="88">
        <f>SUM(D6:D22)</f>
        <v>17</v>
      </c>
      <c r="E23" s="89">
        <f>SUM(C23:D23)</f>
        <v>38</v>
      </c>
    </row>
    <row r="28" spans="1:5" ht="15" customHeight="1" x14ac:dyDescent="0.2">
      <c r="B28" s="13"/>
      <c r="C28" s="13"/>
      <c r="D28" s="13"/>
      <c r="E28" s="13"/>
    </row>
    <row r="29" spans="1:5" ht="15" customHeight="1" x14ac:dyDescent="0.2">
      <c r="B29" s="13"/>
      <c r="C29" s="13"/>
      <c r="D29" s="13"/>
      <c r="E29" s="13"/>
    </row>
    <row r="30" spans="1:5" ht="15" customHeight="1" x14ac:dyDescent="0.2">
      <c r="B30" s="13"/>
      <c r="C30" s="13"/>
      <c r="D30" s="13"/>
      <c r="E30" s="13"/>
    </row>
    <row r="31" spans="1:5" ht="15" customHeight="1" x14ac:dyDescent="0.2">
      <c r="B31" s="13"/>
      <c r="C31" s="13"/>
      <c r="D31" s="13"/>
      <c r="E31" s="13"/>
    </row>
    <row r="36" spans="2:5" ht="15" customHeight="1" x14ac:dyDescent="0.2">
      <c r="B36" s="13"/>
      <c r="C36" s="13"/>
      <c r="D36" s="13"/>
      <c r="E36" s="13"/>
    </row>
    <row r="42" spans="2:5" ht="15" customHeight="1" x14ac:dyDescent="0.2">
      <c r="B42" s="13"/>
      <c r="C42" s="13"/>
      <c r="D42" s="13"/>
      <c r="E42" s="13"/>
    </row>
    <row r="44" spans="2:5" ht="15" customHeight="1" x14ac:dyDescent="0.2">
      <c r="B44" s="13"/>
      <c r="C44" s="13"/>
      <c r="D44" s="13"/>
      <c r="E44" s="13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G16"/>
  <sheetViews>
    <sheetView workbookViewId="0">
      <selection activeCell="K26" sqref="K26"/>
    </sheetView>
  </sheetViews>
  <sheetFormatPr defaultRowHeight="12.75" x14ac:dyDescent="0.2"/>
  <cols>
    <col min="3" max="3" width="40.7109375" customWidth="1"/>
    <col min="4" max="7" width="27.85546875" customWidth="1"/>
  </cols>
  <sheetData>
    <row r="1" spans="1:7" ht="21.75" customHeight="1" x14ac:dyDescent="0.2">
      <c r="A1" s="465" t="s">
        <v>440</v>
      </c>
      <c r="B1" s="465"/>
      <c r="C1" s="465"/>
      <c r="D1" s="465"/>
    </row>
    <row r="2" spans="1:7" x14ac:dyDescent="0.2">
      <c r="A2" s="3"/>
      <c r="B2" s="3"/>
      <c r="C2" s="3"/>
      <c r="D2" s="147"/>
      <c r="E2" s="147"/>
      <c r="F2" s="147"/>
      <c r="G2" s="147"/>
    </row>
    <row r="3" spans="1:7" x14ac:dyDescent="0.2">
      <c r="A3" s="3"/>
      <c r="B3" s="3"/>
      <c r="C3" s="3"/>
      <c r="D3" s="147"/>
      <c r="E3" s="147"/>
      <c r="F3" s="147"/>
      <c r="G3" s="147"/>
    </row>
    <row r="4" spans="1:7" x14ac:dyDescent="0.2">
      <c r="A4" s="3"/>
      <c r="B4" s="3"/>
      <c r="C4" s="3"/>
      <c r="D4" s="147"/>
      <c r="E4" s="147"/>
      <c r="F4" s="147"/>
      <c r="G4" s="147"/>
    </row>
    <row r="5" spans="1:7" x14ac:dyDescent="0.2">
      <c r="A5" s="3"/>
      <c r="B5" s="3"/>
      <c r="C5" s="3"/>
      <c r="D5" s="18" t="s">
        <v>380</v>
      </c>
      <c r="E5" s="18"/>
      <c r="F5" s="18"/>
      <c r="G5" s="18"/>
    </row>
    <row r="6" spans="1:7" ht="13.5" thickBot="1" x14ac:dyDescent="0.25">
      <c r="A6" s="1"/>
      <c r="B6" s="1"/>
      <c r="C6" s="2"/>
      <c r="D6" s="18"/>
      <c r="E6" s="18"/>
      <c r="F6" s="18"/>
      <c r="G6" s="18"/>
    </row>
    <row r="7" spans="1:7" ht="12.75" customHeight="1" x14ac:dyDescent="0.2">
      <c r="A7" s="606" t="s">
        <v>36</v>
      </c>
      <c r="B7" s="607"/>
      <c r="C7" s="608"/>
      <c r="D7" s="148" t="s">
        <v>374</v>
      </c>
      <c r="E7" s="148" t="s">
        <v>433</v>
      </c>
      <c r="F7" s="148" t="s">
        <v>427</v>
      </c>
      <c r="G7" s="148" t="s">
        <v>428</v>
      </c>
    </row>
    <row r="8" spans="1:7" x14ac:dyDescent="0.2">
      <c r="A8" s="609"/>
      <c r="B8" s="610"/>
      <c r="C8" s="611"/>
      <c r="D8" s="149" t="s">
        <v>88</v>
      </c>
      <c r="E8" s="149" t="s">
        <v>88</v>
      </c>
      <c r="F8" s="149" t="s">
        <v>88</v>
      </c>
      <c r="G8" s="149" t="s">
        <v>88</v>
      </c>
    </row>
    <row r="9" spans="1:7" x14ac:dyDescent="0.2">
      <c r="A9" s="4"/>
      <c r="B9" s="612"/>
      <c r="C9" s="612"/>
      <c r="D9" s="6"/>
      <c r="E9" s="6"/>
      <c r="F9" s="6"/>
      <c r="G9" s="6"/>
    </row>
    <row r="10" spans="1:7" x14ac:dyDescent="0.2">
      <c r="A10" s="4" t="s">
        <v>37</v>
      </c>
      <c r="B10" s="612" t="s">
        <v>197</v>
      </c>
      <c r="C10" s="612"/>
      <c r="D10" s="6">
        <f>'1. Bevételek'!M16+'1. Bevételek'!M17+'1. Bevételek'!M19</f>
        <v>168154000</v>
      </c>
      <c r="E10" s="6">
        <f>F10-D10</f>
        <v>0</v>
      </c>
      <c r="F10" s="6">
        <v>168154000</v>
      </c>
      <c r="G10" s="6">
        <v>64994194</v>
      </c>
    </row>
    <row r="11" spans="1:7" x14ac:dyDescent="0.2">
      <c r="A11" s="4" t="s">
        <v>38</v>
      </c>
      <c r="B11" s="612" t="s">
        <v>234</v>
      </c>
      <c r="C11" s="612"/>
      <c r="D11" s="6">
        <f>'1. Bevételek'!M25</f>
        <v>241672</v>
      </c>
      <c r="E11" s="6">
        <f t="shared" ref="E11:E13" si="0">F11-D11</f>
        <v>0</v>
      </c>
      <c r="F11" s="6">
        <v>241672</v>
      </c>
      <c r="G11" s="6">
        <v>120836</v>
      </c>
    </row>
    <row r="12" spans="1:7" x14ac:dyDescent="0.2">
      <c r="A12" s="4" t="s">
        <v>39</v>
      </c>
      <c r="B12" s="612" t="s">
        <v>288</v>
      </c>
      <c r="C12" s="612"/>
      <c r="D12" s="6">
        <f>'1. Bevételek'!M21</f>
        <v>50000</v>
      </c>
      <c r="E12" s="6">
        <f t="shared" si="0"/>
        <v>25995</v>
      </c>
      <c r="F12" s="6">
        <v>75995</v>
      </c>
      <c r="G12" s="6">
        <v>75995</v>
      </c>
    </row>
    <row r="13" spans="1:7" ht="13.5" thickBot="1" x14ac:dyDescent="0.25">
      <c r="A13" s="4" t="s">
        <v>40</v>
      </c>
      <c r="B13" s="613" t="s">
        <v>289</v>
      </c>
      <c r="C13" s="613"/>
      <c r="D13" s="24">
        <f>'1. Bevételek'!M32</f>
        <v>2372880</v>
      </c>
      <c r="E13" s="6">
        <f t="shared" si="0"/>
        <v>0</v>
      </c>
      <c r="F13" s="24">
        <v>2372880</v>
      </c>
      <c r="G13" s="24">
        <v>1186440</v>
      </c>
    </row>
    <row r="14" spans="1:7" ht="13.5" thickBot="1" x14ac:dyDescent="0.25">
      <c r="A14" s="614" t="s">
        <v>198</v>
      </c>
      <c r="B14" s="615"/>
      <c r="C14" s="616"/>
      <c r="D14" s="429">
        <f>SUM(D9:D13)</f>
        <v>170818552</v>
      </c>
      <c r="E14" s="429">
        <f t="shared" ref="E14:G14" si="1">SUM(E9:E13)</f>
        <v>25995</v>
      </c>
      <c r="F14" s="429">
        <f t="shared" si="1"/>
        <v>170844547</v>
      </c>
      <c r="G14" s="429">
        <f t="shared" si="1"/>
        <v>66377465</v>
      </c>
    </row>
    <row r="15" spans="1:7" ht="13.5" thickBot="1" x14ac:dyDescent="0.25">
      <c r="A15" s="617" t="s">
        <v>199</v>
      </c>
      <c r="B15" s="618"/>
      <c r="C15" s="618"/>
      <c r="D15" s="430">
        <f>D14*0.5</f>
        <v>85409276</v>
      </c>
      <c r="E15" s="430">
        <f t="shared" ref="E15:G15" si="2">E14*0.5</f>
        <v>12997.5</v>
      </c>
      <c r="F15" s="430">
        <f t="shared" si="2"/>
        <v>85422273.5</v>
      </c>
      <c r="G15" s="430">
        <f t="shared" si="2"/>
        <v>33188732.5</v>
      </c>
    </row>
    <row r="16" spans="1:7" x14ac:dyDescent="0.2">
      <c r="A16" s="619"/>
      <c r="B16" s="619"/>
      <c r="C16" s="619"/>
      <c r="D16" s="150"/>
      <c r="E16" s="150"/>
      <c r="F16" s="150"/>
      <c r="G16" s="150"/>
    </row>
  </sheetData>
  <mergeCells count="10">
    <mergeCell ref="B12:C12"/>
    <mergeCell ref="B13:C13"/>
    <mergeCell ref="A14:C14"/>
    <mergeCell ref="A15:C15"/>
    <mergeCell ref="A16:C16"/>
    <mergeCell ref="A1:D1"/>
    <mergeCell ref="A7:C8"/>
    <mergeCell ref="B9:C9"/>
    <mergeCell ref="B10:C10"/>
    <mergeCell ref="B11:C1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F42B-EE30-4AD5-9574-53E2225B59AD}">
  <dimension ref="A1:T52"/>
  <sheetViews>
    <sheetView zoomScaleNormal="100" workbookViewId="0">
      <selection activeCell="F5" sqref="F5"/>
    </sheetView>
  </sheetViews>
  <sheetFormatPr defaultRowHeight="12.75" x14ac:dyDescent="0.2"/>
  <cols>
    <col min="1" max="2" width="2.5703125" style="252" bestFit="1" customWidth="1"/>
    <col min="3" max="3" width="52.7109375" style="252" customWidth="1"/>
    <col min="4" max="4" width="6.28515625" style="252" bestFit="1" customWidth="1"/>
    <col min="5" max="5" width="12.7109375" style="252" bestFit="1" customWidth="1"/>
    <col min="6" max="6" width="12.7109375" style="252" customWidth="1"/>
    <col min="7" max="8" width="12.42578125" style="252" customWidth="1"/>
    <col min="9" max="9" width="12.7109375" style="252" bestFit="1" customWidth="1"/>
    <col min="10" max="10" width="11.140625" style="252" bestFit="1" customWidth="1"/>
    <col min="11" max="11" width="11.140625" style="252" customWidth="1"/>
    <col min="12" max="12" width="9.140625" style="252" bestFit="1"/>
    <col min="13" max="13" width="9.140625" style="252"/>
    <col min="14" max="14" width="9.42578125" style="252" bestFit="1" customWidth="1"/>
    <col min="15" max="16" width="6.42578125" style="252" customWidth="1"/>
    <col min="17" max="18" width="7.42578125" style="252" customWidth="1"/>
    <col min="19" max="19" width="9.42578125" style="252" bestFit="1" customWidth="1"/>
    <col min="20" max="20" width="13.140625" style="252" bestFit="1" customWidth="1"/>
    <col min="21" max="16384" width="9.140625" style="252"/>
  </cols>
  <sheetData>
    <row r="1" spans="1:20" ht="21.75" customHeight="1" x14ac:dyDescent="0.2">
      <c r="A1" s="465" t="s">
        <v>429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</row>
    <row r="2" spans="1:20" ht="28.5" customHeight="1" x14ac:dyDescent="0.2">
      <c r="A2" s="466" t="s">
        <v>101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296" t="s">
        <v>380</v>
      </c>
    </row>
    <row r="3" spans="1:20" ht="36.75" customHeight="1" x14ac:dyDescent="0.2">
      <c r="A3" s="492" t="s">
        <v>36</v>
      </c>
      <c r="B3" s="493"/>
      <c r="C3" s="494"/>
      <c r="D3" s="501" t="s">
        <v>309</v>
      </c>
      <c r="E3" s="504" t="s">
        <v>369</v>
      </c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6"/>
    </row>
    <row r="4" spans="1:20" ht="12.75" customHeight="1" x14ac:dyDescent="0.2">
      <c r="A4" s="495"/>
      <c r="B4" s="496"/>
      <c r="C4" s="497"/>
      <c r="D4" s="502"/>
      <c r="E4" s="509" t="s">
        <v>310</v>
      </c>
      <c r="F4" s="510"/>
      <c r="G4" s="510"/>
      <c r="H4" s="511"/>
      <c r="I4" s="501" t="s">
        <v>200</v>
      </c>
      <c r="J4" s="492" t="s">
        <v>311</v>
      </c>
      <c r="K4" s="493"/>
      <c r="L4" s="493"/>
      <c r="M4" s="494"/>
      <c r="N4" s="501" t="s">
        <v>200</v>
      </c>
      <c r="O4" s="509" t="s">
        <v>312</v>
      </c>
      <c r="P4" s="510"/>
      <c r="Q4" s="510"/>
      <c r="R4" s="511"/>
      <c r="S4" s="501" t="s">
        <v>200</v>
      </c>
      <c r="T4" s="507" t="s">
        <v>99</v>
      </c>
    </row>
    <row r="5" spans="1:20" s="254" customFormat="1" ht="25.5" x14ac:dyDescent="0.2">
      <c r="A5" s="498"/>
      <c r="B5" s="499"/>
      <c r="C5" s="500"/>
      <c r="D5" s="503"/>
      <c r="E5" s="253" t="s">
        <v>201</v>
      </c>
      <c r="F5" s="253" t="s">
        <v>442</v>
      </c>
      <c r="G5" s="253" t="s">
        <v>278</v>
      </c>
      <c r="H5" s="253" t="s">
        <v>443</v>
      </c>
      <c r="I5" s="503"/>
      <c r="J5" s="253" t="s">
        <v>201</v>
      </c>
      <c r="K5" s="253" t="s">
        <v>443</v>
      </c>
      <c r="L5" s="253" t="s">
        <v>278</v>
      </c>
      <c r="M5" s="253" t="s">
        <v>443</v>
      </c>
      <c r="N5" s="503"/>
      <c r="O5" s="253" t="s">
        <v>201</v>
      </c>
      <c r="P5" s="253" t="s">
        <v>443</v>
      </c>
      <c r="Q5" s="253" t="s">
        <v>278</v>
      </c>
      <c r="R5" s="253" t="s">
        <v>443</v>
      </c>
      <c r="S5" s="503"/>
      <c r="T5" s="508"/>
    </row>
    <row r="6" spans="1:20" ht="17.25" customHeight="1" x14ac:dyDescent="0.2">
      <c r="A6" s="487" t="s">
        <v>37</v>
      </c>
      <c r="B6" s="271"/>
      <c r="C6" s="165" t="s">
        <v>223</v>
      </c>
      <c r="D6" s="165" t="s">
        <v>313</v>
      </c>
      <c r="E6" s="166">
        <f>'1. Bevételek'!E5</f>
        <v>75428581</v>
      </c>
      <c r="F6" s="166">
        <v>23382844</v>
      </c>
      <c r="G6" s="166">
        <f>'1. Bevételek'!I5</f>
        <v>0</v>
      </c>
      <c r="H6" s="166">
        <v>0</v>
      </c>
      <c r="I6" s="166">
        <f>SUM(E6:H6)</f>
        <v>98811425</v>
      </c>
      <c r="J6" s="255">
        <v>0</v>
      </c>
      <c r="K6" s="255"/>
      <c r="L6" s="255">
        <v>0</v>
      </c>
      <c r="M6" s="255"/>
      <c r="N6" s="255">
        <f>SUM(J6:L6)</f>
        <v>0</v>
      </c>
      <c r="O6" s="255">
        <v>0</v>
      </c>
      <c r="P6" s="255"/>
      <c r="Q6" s="255">
        <v>0</v>
      </c>
      <c r="R6" s="255"/>
      <c r="S6" s="255">
        <f>SUM(O6:Q6)</f>
        <v>0</v>
      </c>
      <c r="T6" s="166">
        <f>I6+N6+S6</f>
        <v>98811425</v>
      </c>
    </row>
    <row r="7" spans="1:20" ht="25.5" x14ac:dyDescent="0.2">
      <c r="A7" s="487"/>
      <c r="B7" s="271"/>
      <c r="C7" s="165" t="s">
        <v>224</v>
      </c>
      <c r="D7" s="165" t="s">
        <v>314</v>
      </c>
      <c r="E7" s="166">
        <f>'1. Bevételek'!E6</f>
        <v>144073630</v>
      </c>
      <c r="F7" s="166"/>
      <c r="G7" s="166">
        <f>'1. Bevételek'!I6</f>
        <v>0</v>
      </c>
      <c r="H7" s="166">
        <v>0</v>
      </c>
      <c r="I7" s="166">
        <f t="shared" ref="I7:I9" si="0">SUM(E7:H7)</f>
        <v>144073630</v>
      </c>
      <c r="J7" s="255">
        <v>0</v>
      </c>
      <c r="K7" s="255"/>
      <c r="L7" s="255">
        <v>0</v>
      </c>
      <c r="M7" s="255"/>
      <c r="N7" s="255">
        <f t="shared" ref="N7:N9" si="1">SUM(J7:L7)</f>
        <v>0</v>
      </c>
      <c r="O7" s="255">
        <v>0</v>
      </c>
      <c r="P7" s="255"/>
      <c r="Q7" s="255">
        <v>0</v>
      </c>
      <c r="R7" s="255"/>
      <c r="S7" s="255">
        <f t="shared" ref="S7:S9" si="2">SUM(O7:Q7)</f>
        <v>0</v>
      </c>
      <c r="T7" s="166">
        <f t="shared" ref="T7:T14" si="3">I7+N7+S7</f>
        <v>144073630</v>
      </c>
    </row>
    <row r="8" spans="1:20" ht="25.5" x14ac:dyDescent="0.2">
      <c r="A8" s="487"/>
      <c r="B8" s="271"/>
      <c r="C8" s="165" t="s">
        <v>225</v>
      </c>
      <c r="D8" s="165" t="s">
        <v>315</v>
      </c>
      <c r="E8" s="166">
        <f>'1. Bevételek'!E7</f>
        <v>59375158</v>
      </c>
      <c r="F8" s="166">
        <v>2003647</v>
      </c>
      <c r="G8" s="166">
        <f>'1. Bevételek'!I7</f>
        <v>0</v>
      </c>
      <c r="H8" s="166">
        <v>0</v>
      </c>
      <c r="I8" s="166">
        <f t="shared" si="0"/>
        <v>61378805</v>
      </c>
      <c r="J8" s="255">
        <v>0</v>
      </c>
      <c r="K8" s="255"/>
      <c r="L8" s="255">
        <v>0</v>
      </c>
      <c r="M8" s="255"/>
      <c r="N8" s="255">
        <f t="shared" si="1"/>
        <v>0</v>
      </c>
      <c r="O8" s="255">
        <v>0</v>
      </c>
      <c r="P8" s="255"/>
      <c r="Q8" s="255">
        <v>0</v>
      </c>
      <c r="R8" s="255"/>
      <c r="S8" s="255">
        <f t="shared" si="2"/>
        <v>0</v>
      </c>
      <c r="T8" s="166">
        <f t="shared" si="3"/>
        <v>61378805</v>
      </c>
    </row>
    <row r="9" spans="1:20" ht="14.25" customHeight="1" x14ac:dyDescent="0.2">
      <c r="A9" s="487"/>
      <c r="B9" s="271"/>
      <c r="C9" s="165" t="s">
        <v>226</v>
      </c>
      <c r="D9" s="165" t="s">
        <v>316</v>
      </c>
      <c r="E9" s="166">
        <f>'1. Bevételek'!E8</f>
        <v>4115790</v>
      </c>
      <c r="F9" s="166"/>
      <c r="G9" s="166">
        <f>'1. Bevételek'!I8</f>
        <v>0</v>
      </c>
      <c r="H9" s="166">
        <v>0</v>
      </c>
      <c r="I9" s="166">
        <f t="shared" si="0"/>
        <v>4115790</v>
      </c>
      <c r="J9" s="255">
        <v>0</v>
      </c>
      <c r="K9" s="255"/>
      <c r="L9" s="255">
        <v>0</v>
      </c>
      <c r="M9" s="255"/>
      <c r="N9" s="255">
        <f t="shared" si="1"/>
        <v>0</v>
      </c>
      <c r="O9" s="255">
        <v>0</v>
      </c>
      <c r="P9" s="255"/>
      <c r="Q9" s="255">
        <v>0</v>
      </c>
      <c r="R9" s="255"/>
      <c r="S9" s="255">
        <f t="shared" si="2"/>
        <v>0</v>
      </c>
      <c r="T9" s="166">
        <f t="shared" si="3"/>
        <v>4115790</v>
      </c>
    </row>
    <row r="10" spans="1:20" ht="18" customHeight="1" x14ac:dyDescent="0.2">
      <c r="A10" s="487"/>
      <c r="B10" s="490" t="s">
        <v>227</v>
      </c>
      <c r="C10" s="490"/>
      <c r="D10" s="256" t="s">
        <v>317</v>
      </c>
      <c r="E10" s="189">
        <f t="shared" ref="E10:S10" si="4">SUM(E6:E9)</f>
        <v>282993159</v>
      </c>
      <c r="F10" s="189">
        <f t="shared" si="4"/>
        <v>25386491</v>
      </c>
      <c r="G10" s="189">
        <f t="shared" si="4"/>
        <v>0</v>
      </c>
      <c r="H10" s="189">
        <f t="shared" si="4"/>
        <v>0</v>
      </c>
      <c r="I10" s="189">
        <f t="shared" si="4"/>
        <v>308379650</v>
      </c>
      <c r="J10" s="189">
        <f t="shared" si="4"/>
        <v>0</v>
      </c>
      <c r="K10" s="189"/>
      <c r="L10" s="189">
        <f t="shared" si="4"/>
        <v>0</v>
      </c>
      <c r="M10" s="189"/>
      <c r="N10" s="189">
        <f t="shared" si="4"/>
        <v>0</v>
      </c>
      <c r="O10" s="189">
        <f t="shared" si="4"/>
        <v>0</v>
      </c>
      <c r="P10" s="189"/>
      <c r="Q10" s="189">
        <f t="shared" si="4"/>
        <v>0</v>
      </c>
      <c r="R10" s="189"/>
      <c r="S10" s="189">
        <f t="shared" si="4"/>
        <v>0</v>
      </c>
      <c r="T10" s="189">
        <f>SUM(T6:T9)</f>
        <v>308379650</v>
      </c>
    </row>
    <row r="11" spans="1:20" x14ac:dyDescent="0.2">
      <c r="A11" s="487"/>
      <c r="B11" s="164"/>
      <c r="C11" s="257" t="s">
        <v>371</v>
      </c>
      <c r="D11" s="257" t="s">
        <v>318</v>
      </c>
      <c r="E11" s="166">
        <f>'1. Bevételek'!E10</f>
        <v>0</v>
      </c>
      <c r="F11" s="166"/>
      <c r="G11" s="285">
        <f>'1. Bevételek'!I10</f>
        <v>0</v>
      </c>
      <c r="H11" s="285">
        <v>0</v>
      </c>
      <c r="I11" s="166">
        <f>SUM(E11:H11)</f>
        <v>0</v>
      </c>
      <c r="J11" s="258">
        <v>0</v>
      </c>
      <c r="K11" s="258"/>
      <c r="L11" s="258">
        <v>0</v>
      </c>
      <c r="M11" s="258"/>
      <c r="N11" s="258">
        <f>SUM(J11:L11)</f>
        <v>0</v>
      </c>
      <c r="O11" s="258">
        <v>0</v>
      </c>
      <c r="P11" s="258"/>
      <c r="Q11" s="258">
        <v>0</v>
      </c>
      <c r="R11" s="258"/>
      <c r="S11" s="258">
        <f>SUM(O11:Q11)</f>
        <v>0</v>
      </c>
      <c r="T11" s="166">
        <f t="shared" si="3"/>
        <v>0</v>
      </c>
    </row>
    <row r="12" spans="1:20" x14ac:dyDescent="0.2">
      <c r="A12" s="487"/>
      <c r="B12" s="164"/>
      <c r="C12" s="203" t="s">
        <v>241</v>
      </c>
      <c r="D12" s="257" t="s">
        <v>318</v>
      </c>
      <c r="E12" s="166">
        <f>'1. Bevételek'!E11</f>
        <v>18648000</v>
      </c>
      <c r="F12" s="166">
        <v>1762500</v>
      </c>
      <c r="G12" s="285">
        <f>'1. Bevételek'!I11</f>
        <v>0</v>
      </c>
      <c r="H12" s="285">
        <v>0</v>
      </c>
      <c r="I12" s="166">
        <f t="shared" ref="I12:I14" si="5">SUM(E12:H12)</f>
        <v>20410500</v>
      </c>
      <c r="J12" s="258">
        <v>0</v>
      </c>
      <c r="K12" s="258"/>
      <c r="L12" s="258">
        <v>0</v>
      </c>
      <c r="M12" s="258"/>
      <c r="N12" s="258">
        <f t="shared" ref="N12:N14" si="6">SUM(J12:L12)</f>
        <v>0</v>
      </c>
      <c r="O12" s="258">
        <v>0</v>
      </c>
      <c r="P12" s="258"/>
      <c r="Q12" s="258">
        <v>0</v>
      </c>
      <c r="R12" s="258"/>
      <c r="S12" s="258">
        <f t="shared" ref="S12:S14" si="7">SUM(O12:Q12)</f>
        <v>0</v>
      </c>
      <c r="T12" s="166">
        <f t="shared" si="3"/>
        <v>20410500</v>
      </c>
    </row>
    <row r="13" spans="1:20" x14ac:dyDescent="0.2">
      <c r="A13" s="487"/>
      <c r="B13" s="164"/>
      <c r="C13" s="203" t="s">
        <v>242</v>
      </c>
      <c r="D13" s="257" t="s">
        <v>318</v>
      </c>
      <c r="E13" s="166">
        <f>'1. Bevételek'!E12</f>
        <v>4468659</v>
      </c>
      <c r="F13" s="166"/>
      <c r="G13" s="285">
        <f>'1. Bevételek'!I12</f>
        <v>0</v>
      </c>
      <c r="H13" s="285">
        <v>0</v>
      </c>
      <c r="I13" s="166">
        <f t="shared" si="5"/>
        <v>4468659</v>
      </c>
      <c r="J13" s="258">
        <v>0</v>
      </c>
      <c r="K13" s="258"/>
      <c r="L13" s="258">
        <v>0</v>
      </c>
      <c r="M13" s="258"/>
      <c r="N13" s="258">
        <f t="shared" si="6"/>
        <v>0</v>
      </c>
      <c r="O13" s="258">
        <v>0</v>
      </c>
      <c r="P13" s="258"/>
      <c r="Q13" s="258">
        <v>0</v>
      </c>
      <c r="R13" s="258"/>
      <c r="S13" s="258">
        <f t="shared" si="7"/>
        <v>0</v>
      </c>
      <c r="T13" s="166">
        <f t="shared" si="3"/>
        <v>4468659</v>
      </c>
    </row>
    <row r="14" spans="1:20" x14ac:dyDescent="0.2">
      <c r="A14" s="487"/>
      <c r="B14" s="164"/>
      <c r="C14" s="203" t="s">
        <v>243</v>
      </c>
      <c r="D14" s="257" t="s">
        <v>318</v>
      </c>
      <c r="E14" s="166">
        <f>'1. Bevételek'!E13</f>
        <v>29812489</v>
      </c>
      <c r="F14" s="166"/>
      <c r="G14" s="285">
        <f>'1. Bevételek'!I13</f>
        <v>0</v>
      </c>
      <c r="H14" s="285">
        <v>0</v>
      </c>
      <c r="I14" s="166">
        <f t="shared" si="5"/>
        <v>29812489</v>
      </c>
      <c r="J14" s="258">
        <v>0</v>
      </c>
      <c r="K14" s="258"/>
      <c r="L14" s="258">
        <v>0</v>
      </c>
      <c r="M14" s="258"/>
      <c r="N14" s="258">
        <f t="shared" si="6"/>
        <v>0</v>
      </c>
      <c r="O14" s="258">
        <v>0</v>
      </c>
      <c r="P14" s="258"/>
      <c r="Q14" s="258">
        <v>0</v>
      </c>
      <c r="R14" s="258"/>
      <c r="S14" s="258">
        <f t="shared" si="7"/>
        <v>0</v>
      </c>
      <c r="T14" s="166">
        <f t="shared" si="3"/>
        <v>29812489</v>
      </c>
    </row>
    <row r="15" spans="1:20" s="159" customFormat="1" ht="18.75" customHeight="1" x14ac:dyDescent="0.2">
      <c r="A15" s="487"/>
      <c r="B15" s="490" t="s">
        <v>244</v>
      </c>
      <c r="C15" s="490"/>
      <c r="D15" s="256" t="s">
        <v>318</v>
      </c>
      <c r="E15" s="189">
        <f t="shared" ref="E15:S15" si="8">SUM(E11:E14)</f>
        <v>52929148</v>
      </c>
      <c r="F15" s="189">
        <f t="shared" si="8"/>
        <v>1762500</v>
      </c>
      <c r="G15" s="189">
        <f t="shared" si="8"/>
        <v>0</v>
      </c>
      <c r="H15" s="189">
        <f t="shared" si="8"/>
        <v>0</v>
      </c>
      <c r="I15" s="189">
        <f t="shared" si="8"/>
        <v>54691648</v>
      </c>
      <c r="J15" s="189">
        <f t="shared" si="8"/>
        <v>0</v>
      </c>
      <c r="K15" s="189"/>
      <c r="L15" s="189">
        <f t="shared" si="8"/>
        <v>0</v>
      </c>
      <c r="M15" s="189"/>
      <c r="N15" s="189">
        <f t="shared" si="8"/>
        <v>0</v>
      </c>
      <c r="O15" s="189">
        <f t="shared" si="8"/>
        <v>0</v>
      </c>
      <c r="P15" s="189"/>
      <c r="Q15" s="189">
        <f t="shared" si="8"/>
        <v>0</v>
      </c>
      <c r="R15" s="189"/>
      <c r="S15" s="189">
        <f t="shared" si="8"/>
        <v>0</v>
      </c>
      <c r="T15" s="189">
        <f>SUM(T11:T14)</f>
        <v>54691648</v>
      </c>
    </row>
    <row r="16" spans="1:20" s="267" customFormat="1" ht="22.5" customHeight="1" x14ac:dyDescent="0.2">
      <c r="A16" s="487"/>
      <c r="B16" s="491" t="s">
        <v>245</v>
      </c>
      <c r="C16" s="491"/>
      <c r="D16" s="259" t="s">
        <v>319</v>
      </c>
      <c r="E16" s="190">
        <f t="shared" ref="E16:S16" si="9">E10+E15</f>
        <v>335922307</v>
      </c>
      <c r="F16" s="190">
        <f t="shared" si="9"/>
        <v>27148991</v>
      </c>
      <c r="G16" s="190">
        <f t="shared" si="9"/>
        <v>0</v>
      </c>
      <c r="H16" s="190">
        <f t="shared" si="9"/>
        <v>0</v>
      </c>
      <c r="I16" s="190">
        <f t="shared" si="9"/>
        <v>363071298</v>
      </c>
      <c r="J16" s="190">
        <f t="shared" si="9"/>
        <v>0</v>
      </c>
      <c r="K16" s="190"/>
      <c r="L16" s="190">
        <f t="shared" si="9"/>
        <v>0</v>
      </c>
      <c r="M16" s="190"/>
      <c r="N16" s="190">
        <f t="shared" si="9"/>
        <v>0</v>
      </c>
      <c r="O16" s="190">
        <f t="shared" si="9"/>
        <v>0</v>
      </c>
      <c r="P16" s="190"/>
      <c r="Q16" s="190">
        <f t="shared" si="9"/>
        <v>0</v>
      </c>
      <c r="R16" s="190"/>
      <c r="S16" s="190">
        <f t="shared" si="9"/>
        <v>0</v>
      </c>
      <c r="T16" s="190">
        <f>T10+T15</f>
        <v>363071298</v>
      </c>
    </row>
    <row r="17" spans="1:20" s="159" customFormat="1" x14ac:dyDescent="0.2">
      <c r="A17" s="487" t="s">
        <v>38</v>
      </c>
      <c r="B17" s="490" t="s">
        <v>228</v>
      </c>
      <c r="C17" s="490"/>
      <c r="D17" s="256" t="s">
        <v>320</v>
      </c>
      <c r="E17" s="189">
        <f>'1. Bevételek'!E16</f>
        <v>6400000</v>
      </c>
      <c r="F17" s="189">
        <v>0</v>
      </c>
      <c r="G17" s="189">
        <f>'1. Bevételek'!I16</f>
        <v>0</v>
      </c>
      <c r="H17" s="189">
        <v>0</v>
      </c>
      <c r="I17" s="189">
        <f>SUM(E17:G17)</f>
        <v>6400000</v>
      </c>
      <c r="J17" s="260">
        <v>0</v>
      </c>
      <c r="K17" s="260"/>
      <c r="L17" s="260">
        <v>0</v>
      </c>
      <c r="M17" s="260"/>
      <c r="N17" s="260">
        <f>SUM(J17:L17)</f>
        <v>0</v>
      </c>
      <c r="O17" s="260">
        <v>0</v>
      </c>
      <c r="P17" s="260"/>
      <c r="Q17" s="260">
        <v>0</v>
      </c>
      <c r="R17" s="260"/>
      <c r="S17" s="260">
        <f>SUM(O17:Q17)</f>
        <v>0</v>
      </c>
      <c r="T17" s="189">
        <f>I17+N17+S17</f>
        <v>6400000</v>
      </c>
    </row>
    <row r="18" spans="1:20" x14ac:dyDescent="0.2">
      <c r="A18" s="487"/>
      <c r="B18" s="271" t="s">
        <v>37</v>
      </c>
      <c r="C18" s="165" t="s">
        <v>220</v>
      </c>
      <c r="D18" s="165" t="s">
        <v>321</v>
      </c>
      <c r="E18" s="166">
        <f>'1. Bevételek'!E17</f>
        <v>161354000</v>
      </c>
      <c r="F18" s="166"/>
      <c r="G18" s="166">
        <f>'1. Bevételek'!I17</f>
        <v>0</v>
      </c>
      <c r="H18" s="166"/>
      <c r="I18" s="166">
        <f>SUM(E18:H18)</f>
        <v>161354000</v>
      </c>
      <c r="J18" s="255">
        <v>0</v>
      </c>
      <c r="K18" s="255"/>
      <c r="L18" s="255">
        <v>0</v>
      </c>
      <c r="M18" s="255"/>
      <c r="N18" s="255">
        <f>SUM(J18:L18)</f>
        <v>0</v>
      </c>
      <c r="O18" s="255">
        <v>0</v>
      </c>
      <c r="P18" s="255"/>
      <c r="Q18" s="255">
        <v>0</v>
      </c>
      <c r="R18" s="255"/>
      <c r="S18" s="255">
        <f>SUM(O18:Q18)</f>
        <v>0</v>
      </c>
      <c r="T18" s="166">
        <f t="shared" ref="T18:T20" si="10">I18+N18+S18</f>
        <v>161354000</v>
      </c>
    </row>
    <row r="19" spans="1:20" x14ac:dyDescent="0.2">
      <c r="A19" s="487"/>
      <c r="B19" s="271" t="s">
        <v>38</v>
      </c>
      <c r="C19" s="165" t="s">
        <v>229</v>
      </c>
      <c r="D19" s="165" t="s">
        <v>322</v>
      </c>
      <c r="E19" s="166">
        <f>'1. Bevételek'!E18</f>
        <v>12900000</v>
      </c>
      <c r="F19" s="166">
        <v>-12900000</v>
      </c>
      <c r="G19" s="166">
        <f>'1. Bevételek'!I18</f>
        <v>0</v>
      </c>
      <c r="H19" s="166"/>
      <c r="I19" s="166">
        <f t="shared" ref="I19:I20" si="11">SUM(E19:H19)</f>
        <v>0</v>
      </c>
      <c r="J19" s="255">
        <v>0</v>
      </c>
      <c r="K19" s="255"/>
      <c r="L19" s="255">
        <v>0</v>
      </c>
      <c r="M19" s="255"/>
      <c r="N19" s="255">
        <f>SUM(J19:L19)</f>
        <v>0</v>
      </c>
      <c r="O19" s="255">
        <v>0</v>
      </c>
      <c r="P19" s="255"/>
      <c r="Q19" s="255">
        <v>0</v>
      </c>
      <c r="R19" s="255"/>
      <c r="S19" s="255">
        <f>SUM(O19:Q19)</f>
        <v>0</v>
      </c>
      <c r="T19" s="166">
        <f t="shared" si="10"/>
        <v>0</v>
      </c>
    </row>
    <row r="20" spans="1:20" x14ac:dyDescent="0.2">
      <c r="A20" s="487"/>
      <c r="B20" s="271" t="s">
        <v>39</v>
      </c>
      <c r="C20" s="165" t="s">
        <v>221</v>
      </c>
      <c r="D20" s="165" t="s">
        <v>323</v>
      </c>
      <c r="E20" s="166">
        <f>'1. Bevételek'!E19</f>
        <v>400000</v>
      </c>
      <c r="F20" s="166"/>
      <c r="G20" s="166">
        <f>'1. Bevételek'!I19</f>
        <v>0</v>
      </c>
      <c r="H20" s="166"/>
      <c r="I20" s="166">
        <f t="shared" si="11"/>
        <v>400000</v>
      </c>
      <c r="J20" s="255">
        <v>0</v>
      </c>
      <c r="K20" s="255"/>
      <c r="L20" s="255">
        <v>0</v>
      </c>
      <c r="M20" s="255"/>
      <c r="N20" s="255">
        <f>SUM(J20:L20)</f>
        <v>0</v>
      </c>
      <c r="O20" s="255">
        <v>0</v>
      </c>
      <c r="P20" s="255"/>
      <c r="Q20" s="255">
        <v>0</v>
      </c>
      <c r="R20" s="255"/>
      <c r="S20" s="255">
        <f>SUM(O20:Q20)</f>
        <v>0</v>
      </c>
      <c r="T20" s="166">
        <f t="shared" si="10"/>
        <v>400000</v>
      </c>
    </row>
    <row r="21" spans="1:20" ht="17.25" customHeight="1" x14ac:dyDescent="0.2">
      <c r="A21" s="487"/>
      <c r="B21" s="490" t="s">
        <v>275</v>
      </c>
      <c r="C21" s="490"/>
      <c r="D21" s="256" t="s">
        <v>324</v>
      </c>
      <c r="E21" s="189">
        <f t="shared" ref="E21:S21" si="12">SUM(E18:E20)</f>
        <v>174654000</v>
      </c>
      <c r="F21" s="189">
        <f t="shared" si="12"/>
        <v>-12900000</v>
      </c>
      <c r="G21" s="189">
        <f t="shared" si="12"/>
        <v>0</v>
      </c>
      <c r="H21" s="189">
        <f t="shared" si="12"/>
        <v>0</v>
      </c>
      <c r="I21" s="189">
        <f t="shared" si="12"/>
        <v>161754000</v>
      </c>
      <c r="J21" s="189">
        <f t="shared" si="12"/>
        <v>0</v>
      </c>
      <c r="K21" s="189"/>
      <c r="L21" s="189">
        <f t="shared" si="12"/>
        <v>0</v>
      </c>
      <c r="M21" s="189"/>
      <c r="N21" s="189">
        <f t="shared" si="12"/>
        <v>0</v>
      </c>
      <c r="O21" s="189">
        <f t="shared" si="12"/>
        <v>0</v>
      </c>
      <c r="P21" s="189"/>
      <c r="Q21" s="189">
        <f t="shared" si="12"/>
        <v>0</v>
      </c>
      <c r="R21" s="189"/>
      <c r="S21" s="189">
        <f t="shared" si="12"/>
        <v>0</v>
      </c>
      <c r="T21" s="189">
        <f>SUM(T18:T20)</f>
        <v>161754000</v>
      </c>
    </row>
    <row r="22" spans="1:20" s="159" customFormat="1" ht="18.75" customHeight="1" x14ac:dyDescent="0.2">
      <c r="A22" s="487"/>
      <c r="B22" s="490" t="s">
        <v>222</v>
      </c>
      <c r="C22" s="490"/>
      <c r="D22" s="256" t="s">
        <v>325</v>
      </c>
      <c r="E22" s="189">
        <f>'1. Bevételek'!E21</f>
        <v>50000</v>
      </c>
      <c r="F22" s="189">
        <v>25995</v>
      </c>
      <c r="G22" s="189">
        <f>'1. Bevételek'!I21</f>
        <v>0</v>
      </c>
      <c r="H22" s="189">
        <v>0</v>
      </c>
      <c r="I22" s="189">
        <f>SUM(E22:G22)</f>
        <v>75995</v>
      </c>
      <c r="J22" s="260">
        <v>0</v>
      </c>
      <c r="K22" s="260"/>
      <c r="L22" s="260">
        <v>0</v>
      </c>
      <c r="M22" s="260"/>
      <c r="N22" s="260">
        <f>SUM(J22:L22)</f>
        <v>0</v>
      </c>
      <c r="O22" s="260">
        <v>0</v>
      </c>
      <c r="P22" s="260"/>
      <c r="Q22" s="260">
        <v>0</v>
      </c>
      <c r="R22" s="260"/>
      <c r="S22" s="260">
        <f>SUM(O22:Q22)</f>
        <v>0</v>
      </c>
      <c r="T22" s="189">
        <f>I22+N22+S22</f>
        <v>75995</v>
      </c>
    </row>
    <row r="23" spans="1:20" s="267" customFormat="1" ht="18" customHeight="1" x14ac:dyDescent="0.2">
      <c r="A23" s="487"/>
      <c r="B23" s="491" t="s">
        <v>230</v>
      </c>
      <c r="C23" s="491"/>
      <c r="D23" s="259" t="s">
        <v>326</v>
      </c>
      <c r="E23" s="190">
        <f t="shared" ref="E23:S23" si="13">E17+E21+E22</f>
        <v>181104000</v>
      </c>
      <c r="F23" s="190">
        <f t="shared" si="13"/>
        <v>-12874005</v>
      </c>
      <c r="G23" s="190">
        <f t="shared" si="13"/>
        <v>0</v>
      </c>
      <c r="H23" s="190">
        <f t="shared" si="13"/>
        <v>0</v>
      </c>
      <c r="I23" s="190">
        <f t="shared" si="13"/>
        <v>168229995</v>
      </c>
      <c r="J23" s="190">
        <f t="shared" si="13"/>
        <v>0</v>
      </c>
      <c r="K23" s="190"/>
      <c r="L23" s="190">
        <f t="shared" si="13"/>
        <v>0</v>
      </c>
      <c r="M23" s="190"/>
      <c r="N23" s="190">
        <f t="shared" si="13"/>
        <v>0</v>
      </c>
      <c r="O23" s="190">
        <f t="shared" si="13"/>
        <v>0</v>
      </c>
      <c r="P23" s="190"/>
      <c r="Q23" s="190">
        <f t="shared" si="13"/>
        <v>0</v>
      </c>
      <c r="R23" s="190"/>
      <c r="S23" s="190">
        <f t="shared" si="13"/>
        <v>0</v>
      </c>
      <c r="T23" s="190">
        <f>T17+T21+T22</f>
        <v>168229995</v>
      </c>
    </row>
    <row r="24" spans="1:20" x14ac:dyDescent="0.2">
      <c r="A24" s="487" t="s">
        <v>39</v>
      </c>
      <c r="B24" s="272"/>
      <c r="C24" s="165" t="s">
        <v>232</v>
      </c>
      <c r="D24" s="165" t="s">
        <v>327</v>
      </c>
      <c r="E24" s="448">
        <f>'1. Bevételek'!E23-3000000-15462</f>
        <v>174000</v>
      </c>
      <c r="F24" s="448">
        <v>319144</v>
      </c>
      <c r="G24" s="166">
        <f>'1. Bevételek'!I23</f>
        <v>0</v>
      </c>
      <c r="H24" s="166">
        <v>0</v>
      </c>
      <c r="I24" s="166">
        <f>SUM(E24:H24)</f>
        <v>493144</v>
      </c>
      <c r="J24" s="448">
        <f>3000000+15462</f>
        <v>3015462</v>
      </c>
      <c r="K24" s="166">
        <v>0</v>
      </c>
      <c r="L24" s="166">
        <v>0</v>
      </c>
      <c r="M24" s="166"/>
      <c r="N24" s="166">
        <f>SUM(J24:M24)</f>
        <v>3015462</v>
      </c>
      <c r="O24" s="166">
        <v>0</v>
      </c>
      <c r="P24" s="166"/>
      <c r="Q24" s="166">
        <v>0</v>
      </c>
      <c r="R24" s="166"/>
      <c r="S24" s="255">
        <f>SUM(O24:Q24)</f>
        <v>0</v>
      </c>
      <c r="T24" s="166">
        <f t="shared" ref="T24:T36" si="14">I24+N24+S24</f>
        <v>3508606</v>
      </c>
    </row>
    <row r="25" spans="1:20" x14ac:dyDescent="0.2">
      <c r="A25" s="487"/>
      <c r="B25" s="272"/>
      <c r="C25" s="165" t="s">
        <v>233</v>
      </c>
      <c r="D25" s="165" t="s">
        <v>328</v>
      </c>
      <c r="E25" s="166">
        <f>'1. Bevételek'!E24-114076</f>
        <v>0</v>
      </c>
      <c r="F25" s="166"/>
      <c r="G25" s="166">
        <f>'1. Bevételek'!I24-2000000</f>
        <v>0</v>
      </c>
      <c r="H25" s="166">
        <v>0</v>
      </c>
      <c r="I25" s="166">
        <f t="shared" ref="I25:I31" si="15">SUM(E25:H25)</f>
        <v>0</v>
      </c>
      <c r="J25" s="166">
        <v>114076</v>
      </c>
      <c r="K25" s="166">
        <v>942499</v>
      </c>
      <c r="L25" s="166">
        <v>2000000</v>
      </c>
      <c r="M25" s="166">
        <v>407000</v>
      </c>
      <c r="N25" s="166">
        <f t="shared" ref="N25:N31" si="16">SUM(J25:M25)</f>
        <v>3463575</v>
      </c>
      <c r="O25" s="255">
        <v>0</v>
      </c>
      <c r="P25" s="255"/>
      <c r="Q25" s="255">
        <v>0</v>
      </c>
      <c r="R25" s="255"/>
      <c r="S25" s="255">
        <f t="shared" ref="S25:S31" si="17">SUM(O25:Q25)</f>
        <v>0</v>
      </c>
      <c r="T25" s="166">
        <f t="shared" si="14"/>
        <v>3463575</v>
      </c>
    </row>
    <row r="26" spans="1:20" x14ac:dyDescent="0.2">
      <c r="A26" s="487"/>
      <c r="B26" s="272"/>
      <c r="C26" s="165" t="s">
        <v>234</v>
      </c>
      <c r="D26" s="165" t="s">
        <v>329</v>
      </c>
      <c r="E26" s="166">
        <f>'1. Bevételek'!E25-241672</f>
        <v>0</v>
      </c>
      <c r="F26" s="166"/>
      <c r="G26" s="166">
        <f>'1. Bevételek'!I25</f>
        <v>0</v>
      </c>
      <c r="H26" s="166">
        <v>0</v>
      </c>
      <c r="I26" s="166">
        <f t="shared" si="15"/>
        <v>0</v>
      </c>
      <c r="J26" s="166">
        <v>241672</v>
      </c>
      <c r="K26" s="255">
        <v>0</v>
      </c>
      <c r="L26" s="255">
        <v>0</v>
      </c>
      <c r="M26" s="255"/>
      <c r="N26" s="166">
        <f t="shared" si="16"/>
        <v>241672</v>
      </c>
      <c r="O26" s="255">
        <v>0</v>
      </c>
      <c r="P26" s="255"/>
      <c r="Q26" s="255">
        <v>0</v>
      </c>
      <c r="R26" s="255"/>
      <c r="S26" s="255">
        <f t="shared" si="17"/>
        <v>0</v>
      </c>
      <c r="T26" s="166">
        <f t="shared" si="14"/>
        <v>241672</v>
      </c>
    </row>
    <row r="27" spans="1:20" x14ac:dyDescent="0.2">
      <c r="A27" s="487"/>
      <c r="B27" s="272"/>
      <c r="C27" s="165" t="s">
        <v>235</v>
      </c>
      <c r="D27" s="165" t="s">
        <v>330</v>
      </c>
      <c r="E27" s="166">
        <f>'1. Bevételek'!E26</f>
        <v>8478149</v>
      </c>
      <c r="F27" s="166"/>
      <c r="G27" s="166">
        <f>'1. Bevételek'!I26</f>
        <v>0</v>
      </c>
      <c r="H27" s="166">
        <v>0</v>
      </c>
      <c r="I27" s="166">
        <f t="shared" si="15"/>
        <v>8478149</v>
      </c>
      <c r="J27" s="255">
        <v>0</v>
      </c>
      <c r="K27" s="255"/>
      <c r="L27" s="255">
        <v>0</v>
      </c>
      <c r="M27" s="255"/>
      <c r="N27" s="166">
        <f t="shared" si="16"/>
        <v>0</v>
      </c>
      <c r="O27" s="255">
        <v>0</v>
      </c>
      <c r="P27" s="255"/>
      <c r="Q27" s="255">
        <v>0</v>
      </c>
      <c r="R27" s="255"/>
      <c r="S27" s="255">
        <f t="shared" si="17"/>
        <v>0</v>
      </c>
      <c r="T27" s="166">
        <f t="shared" si="14"/>
        <v>8478149</v>
      </c>
    </row>
    <row r="28" spans="1:20" x14ac:dyDescent="0.2">
      <c r="A28" s="487"/>
      <c r="B28" s="272"/>
      <c r="C28" s="165" t="s">
        <v>236</v>
      </c>
      <c r="D28" s="165" t="s">
        <v>331</v>
      </c>
      <c r="E28" s="166">
        <f>'1. Bevételek'!E27-4175</f>
        <v>2307059</v>
      </c>
      <c r="F28" s="166"/>
      <c r="G28" s="166">
        <f>'1. Bevételek'!I27</f>
        <v>0</v>
      </c>
      <c r="H28" s="166">
        <v>0</v>
      </c>
      <c r="I28" s="166">
        <f t="shared" si="15"/>
        <v>2307059</v>
      </c>
      <c r="J28" s="449">
        <v>4175</v>
      </c>
      <c r="K28" s="255"/>
      <c r="L28" s="255">
        <v>0</v>
      </c>
      <c r="M28" s="255"/>
      <c r="N28" s="166">
        <f t="shared" si="16"/>
        <v>4175</v>
      </c>
      <c r="O28" s="255">
        <v>0</v>
      </c>
      <c r="P28" s="255"/>
      <c r="Q28" s="255">
        <v>0</v>
      </c>
      <c r="R28" s="255"/>
      <c r="S28" s="255">
        <f t="shared" si="17"/>
        <v>0</v>
      </c>
      <c r="T28" s="166">
        <f t="shared" si="14"/>
        <v>2311234</v>
      </c>
    </row>
    <row r="29" spans="1:20" x14ac:dyDescent="0.2">
      <c r="A29" s="487"/>
      <c r="B29" s="272"/>
      <c r="C29" s="165" t="s">
        <v>237</v>
      </c>
      <c r="D29" s="165" t="s">
        <v>332</v>
      </c>
      <c r="E29" s="166">
        <f>'1. Bevételek'!E28</f>
        <v>3435000</v>
      </c>
      <c r="F29" s="166"/>
      <c r="G29" s="166">
        <f>'1. Bevételek'!I28</f>
        <v>0</v>
      </c>
      <c r="H29" s="166">
        <v>0</v>
      </c>
      <c r="I29" s="166">
        <f t="shared" si="15"/>
        <v>3435000</v>
      </c>
      <c r="J29" s="255">
        <v>0</v>
      </c>
      <c r="K29" s="255"/>
      <c r="L29" s="255">
        <v>0</v>
      </c>
      <c r="M29" s="255"/>
      <c r="N29" s="166">
        <f t="shared" si="16"/>
        <v>0</v>
      </c>
      <c r="O29" s="255">
        <v>0</v>
      </c>
      <c r="P29" s="255"/>
      <c r="Q29" s="255">
        <v>0</v>
      </c>
      <c r="R29" s="255"/>
      <c r="S29" s="255">
        <f t="shared" si="17"/>
        <v>0</v>
      </c>
      <c r="T29" s="166">
        <f t="shared" si="14"/>
        <v>3435000</v>
      </c>
    </row>
    <row r="30" spans="1:20" x14ac:dyDescent="0.2">
      <c r="A30" s="487"/>
      <c r="B30" s="272"/>
      <c r="C30" s="165" t="s">
        <v>217</v>
      </c>
      <c r="D30" s="165" t="s">
        <v>333</v>
      </c>
      <c r="E30" s="166">
        <f>'1. Bevételek'!E29</f>
        <v>95000</v>
      </c>
      <c r="F30" s="166">
        <v>1533899</v>
      </c>
      <c r="G30" s="166">
        <f>'1. Bevételek'!I29</f>
        <v>2000</v>
      </c>
      <c r="H30" s="166">
        <v>0</v>
      </c>
      <c r="I30" s="166">
        <f t="shared" si="15"/>
        <v>1630899</v>
      </c>
      <c r="J30" s="255">
        <v>0</v>
      </c>
      <c r="K30" s="255"/>
      <c r="L30" s="255">
        <v>0</v>
      </c>
      <c r="M30" s="255"/>
      <c r="N30" s="166">
        <f t="shared" si="16"/>
        <v>0</v>
      </c>
      <c r="O30" s="255">
        <v>0</v>
      </c>
      <c r="P30" s="255"/>
      <c r="Q30" s="255">
        <v>0</v>
      </c>
      <c r="R30" s="255"/>
      <c r="S30" s="255">
        <f t="shared" si="17"/>
        <v>0</v>
      </c>
      <c r="T30" s="166">
        <f t="shared" si="14"/>
        <v>1630899</v>
      </c>
    </row>
    <row r="31" spans="1:20" x14ac:dyDescent="0.2">
      <c r="A31" s="487"/>
      <c r="B31" s="272"/>
      <c r="C31" s="165" t="s">
        <v>238</v>
      </c>
      <c r="D31" s="165" t="s">
        <v>334</v>
      </c>
      <c r="E31" s="166">
        <f>'1. Bevételek'!E30</f>
        <v>1010</v>
      </c>
      <c r="F31" s="166">
        <v>64318</v>
      </c>
      <c r="G31" s="166">
        <f>'1. Bevételek'!I30</f>
        <v>0</v>
      </c>
      <c r="H31" s="166">
        <v>0</v>
      </c>
      <c r="I31" s="166">
        <f t="shared" si="15"/>
        <v>65328</v>
      </c>
      <c r="J31" s="255">
        <v>0</v>
      </c>
      <c r="K31" s="255"/>
      <c r="L31" s="255">
        <v>0</v>
      </c>
      <c r="M31" s="255"/>
      <c r="N31" s="166">
        <f t="shared" si="16"/>
        <v>0</v>
      </c>
      <c r="O31" s="255">
        <v>0</v>
      </c>
      <c r="P31" s="255"/>
      <c r="Q31" s="255">
        <v>0</v>
      </c>
      <c r="R31" s="255"/>
      <c r="S31" s="255">
        <f t="shared" si="17"/>
        <v>0</v>
      </c>
      <c r="T31" s="166">
        <f t="shared" si="14"/>
        <v>65328</v>
      </c>
    </row>
    <row r="32" spans="1:20" x14ac:dyDescent="0.2">
      <c r="A32" s="487"/>
      <c r="B32" s="482" t="s">
        <v>231</v>
      </c>
      <c r="C32" s="482"/>
      <c r="D32" s="248" t="s">
        <v>335</v>
      </c>
      <c r="E32" s="191">
        <f t="shared" ref="E32:S32" si="18">SUM(E24:E31)</f>
        <v>14490218</v>
      </c>
      <c r="F32" s="191">
        <f t="shared" si="18"/>
        <v>1917361</v>
      </c>
      <c r="G32" s="191">
        <f t="shared" si="18"/>
        <v>2000</v>
      </c>
      <c r="H32" s="191">
        <f t="shared" si="18"/>
        <v>0</v>
      </c>
      <c r="I32" s="191">
        <f t="shared" si="18"/>
        <v>16409579</v>
      </c>
      <c r="J32" s="191">
        <f t="shared" si="18"/>
        <v>3375385</v>
      </c>
      <c r="K32" s="191">
        <f t="shared" si="18"/>
        <v>942499</v>
      </c>
      <c r="L32" s="191">
        <f t="shared" si="18"/>
        <v>2000000</v>
      </c>
      <c r="M32" s="191">
        <f t="shared" si="18"/>
        <v>407000</v>
      </c>
      <c r="N32" s="191">
        <f t="shared" si="18"/>
        <v>6724884</v>
      </c>
      <c r="O32" s="191">
        <f t="shared" si="18"/>
        <v>0</v>
      </c>
      <c r="P32" s="191"/>
      <c r="Q32" s="191">
        <f t="shared" si="18"/>
        <v>0</v>
      </c>
      <c r="R32" s="191"/>
      <c r="S32" s="191">
        <f t="shared" si="18"/>
        <v>0</v>
      </c>
      <c r="T32" s="191">
        <f>SUM(T24:T31)</f>
        <v>23134463</v>
      </c>
    </row>
    <row r="33" spans="1:20" ht="20.25" customHeight="1" x14ac:dyDescent="0.2">
      <c r="A33" s="487" t="s">
        <v>40</v>
      </c>
      <c r="B33" s="272"/>
      <c r="C33" s="165" t="s">
        <v>239</v>
      </c>
      <c r="D33" s="165" t="s">
        <v>423</v>
      </c>
      <c r="E33" s="166">
        <f>'1. Bevételek'!E32</f>
        <v>2372880</v>
      </c>
      <c r="F33" s="166"/>
      <c r="G33" s="166">
        <f>'1. Bevételek'!I32</f>
        <v>0</v>
      </c>
      <c r="H33" s="166"/>
      <c r="I33" s="166">
        <f>SUM(E33:G33)</f>
        <v>2372880</v>
      </c>
      <c r="J33" s="255">
        <v>0</v>
      </c>
      <c r="K33" s="255"/>
      <c r="L33" s="255">
        <v>0</v>
      </c>
      <c r="M33" s="255"/>
      <c r="N33" s="255">
        <f>SUM(J33:L33)</f>
        <v>0</v>
      </c>
      <c r="O33" s="255">
        <v>0</v>
      </c>
      <c r="P33" s="255"/>
      <c r="Q33" s="255">
        <v>0</v>
      </c>
      <c r="R33" s="255"/>
      <c r="S33" s="255">
        <f>SUM(O33:Q33)</f>
        <v>0</v>
      </c>
      <c r="T33" s="166">
        <f t="shared" si="14"/>
        <v>2372880</v>
      </c>
    </row>
    <row r="34" spans="1:20" ht="16.5" customHeight="1" x14ac:dyDescent="0.2">
      <c r="A34" s="487"/>
      <c r="B34" s="482" t="s">
        <v>218</v>
      </c>
      <c r="C34" s="482"/>
      <c r="D34" s="248" t="s">
        <v>423</v>
      </c>
      <c r="E34" s="191">
        <f t="shared" ref="E34:S34" si="19">SUM(E33)</f>
        <v>2372880</v>
      </c>
      <c r="F34" s="191">
        <f t="shared" si="19"/>
        <v>0</v>
      </c>
      <c r="G34" s="191">
        <f t="shared" si="19"/>
        <v>0</v>
      </c>
      <c r="H34" s="191">
        <f t="shared" si="19"/>
        <v>0</v>
      </c>
      <c r="I34" s="191">
        <f t="shared" si="19"/>
        <v>2372880</v>
      </c>
      <c r="J34" s="191">
        <f t="shared" si="19"/>
        <v>0</v>
      </c>
      <c r="K34" s="191">
        <f t="shared" si="19"/>
        <v>0</v>
      </c>
      <c r="L34" s="191">
        <f t="shared" si="19"/>
        <v>0</v>
      </c>
      <c r="M34" s="191">
        <f t="shared" si="19"/>
        <v>0</v>
      </c>
      <c r="N34" s="191">
        <f t="shared" si="19"/>
        <v>0</v>
      </c>
      <c r="O34" s="191">
        <f t="shared" si="19"/>
        <v>0</v>
      </c>
      <c r="P34" s="191"/>
      <c r="Q34" s="191">
        <f t="shared" si="19"/>
        <v>0</v>
      </c>
      <c r="R34" s="191"/>
      <c r="S34" s="191">
        <f t="shared" si="19"/>
        <v>0</v>
      </c>
      <c r="T34" s="191">
        <f>SUM(T33)</f>
        <v>2372880</v>
      </c>
    </row>
    <row r="35" spans="1:20" ht="25.5" x14ac:dyDescent="0.2">
      <c r="A35" s="487" t="s">
        <v>41</v>
      </c>
      <c r="B35" s="272"/>
      <c r="C35" s="165" t="s">
        <v>240</v>
      </c>
      <c r="D35" s="165" t="s">
        <v>336</v>
      </c>
      <c r="E35" s="166">
        <f>'1. Bevételek'!E34</f>
        <v>707620</v>
      </c>
      <c r="F35" s="166"/>
      <c r="G35" s="166">
        <f>'1. Bevételek'!I34</f>
        <v>0</v>
      </c>
      <c r="H35" s="166"/>
      <c r="I35" s="166">
        <f>SUM(E35:H35)</f>
        <v>707620</v>
      </c>
      <c r="J35" s="255">
        <v>0</v>
      </c>
      <c r="K35" s="255"/>
      <c r="L35" s="255">
        <v>0</v>
      </c>
      <c r="M35" s="255"/>
      <c r="N35" s="255">
        <f>SUM(J35:L35)</f>
        <v>0</v>
      </c>
      <c r="O35" s="255">
        <v>0</v>
      </c>
      <c r="P35" s="255"/>
      <c r="Q35" s="255">
        <v>0</v>
      </c>
      <c r="R35" s="255"/>
      <c r="S35" s="255">
        <f>SUM(O35:Q35)</f>
        <v>0</v>
      </c>
      <c r="T35" s="166">
        <f t="shared" si="14"/>
        <v>707620</v>
      </c>
    </row>
    <row r="36" spans="1:20" ht="25.5" x14ac:dyDescent="0.2">
      <c r="A36" s="487"/>
      <c r="B36" s="272"/>
      <c r="C36" s="165" t="s">
        <v>372</v>
      </c>
      <c r="D36" s="165" t="s">
        <v>417</v>
      </c>
      <c r="E36" s="166">
        <f>'1. Bevételek'!E35</f>
        <v>110732349</v>
      </c>
      <c r="F36" s="166"/>
      <c r="G36" s="166">
        <f>'1. Bevételek'!I35</f>
        <v>0</v>
      </c>
      <c r="H36" s="166"/>
      <c r="I36" s="166">
        <f>SUM(E36:H36)</f>
        <v>110732349</v>
      </c>
      <c r="J36" s="255">
        <v>0</v>
      </c>
      <c r="K36" s="255"/>
      <c r="L36" s="255">
        <v>0</v>
      </c>
      <c r="M36" s="255"/>
      <c r="N36" s="255">
        <f>SUM(J36:L36)</f>
        <v>0</v>
      </c>
      <c r="O36" s="255">
        <v>0</v>
      </c>
      <c r="P36" s="255"/>
      <c r="Q36" s="255">
        <v>0</v>
      </c>
      <c r="R36" s="255"/>
      <c r="S36" s="255">
        <f>SUM(O36:Q36)</f>
        <v>0</v>
      </c>
      <c r="T36" s="166">
        <f t="shared" si="14"/>
        <v>110732349</v>
      </c>
    </row>
    <row r="37" spans="1:20" x14ac:dyDescent="0.2">
      <c r="A37" s="487"/>
      <c r="B37" s="272"/>
      <c r="C37" s="165" t="s">
        <v>430</v>
      </c>
      <c r="D37" s="165" t="s">
        <v>431</v>
      </c>
      <c r="E37" s="166"/>
      <c r="F37" s="166">
        <v>126128</v>
      </c>
      <c r="G37" s="166">
        <v>0</v>
      </c>
      <c r="H37" s="166"/>
      <c r="I37" s="166">
        <f>SUM(E37:H37)</f>
        <v>126128</v>
      </c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166"/>
    </row>
    <row r="38" spans="1:20" ht="12.75" customHeight="1" x14ac:dyDescent="0.2">
      <c r="A38" s="487"/>
      <c r="B38" s="482" t="s">
        <v>373</v>
      </c>
      <c r="C38" s="469"/>
      <c r="D38" s="248" t="s">
        <v>418</v>
      </c>
      <c r="E38" s="191">
        <f>SUM(E35:E37)</f>
        <v>111439969</v>
      </c>
      <c r="F38" s="191">
        <f>SUM(F35:F37)</f>
        <v>126128</v>
      </c>
      <c r="G38" s="191">
        <f t="shared" ref="G38:H38" si="20">SUM(G35:G37)</f>
        <v>0</v>
      </c>
      <c r="H38" s="191">
        <f t="shared" si="20"/>
        <v>0</v>
      </c>
      <c r="I38" s="191">
        <f>SUM(I35:I36)</f>
        <v>111439969</v>
      </c>
      <c r="J38" s="191">
        <f>SUM(J35:J36)</f>
        <v>0</v>
      </c>
      <c r="K38" s="191"/>
      <c r="L38" s="191">
        <f>SUM(L35:L36)</f>
        <v>0</v>
      </c>
      <c r="M38" s="191"/>
      <c r="N38" s="191">
        <f>SUM(N35:N36)</f>
        <v>0</v>
      </c>
      <c r="O38" s="191">
        <f>SUM(O35:O36)</f>
        <v>0</v>
      </c>
      <c r="P38" s="191"/>
      <c r="Q38" s="191">
        <f>SUM(Q35:Q36)</f>
        <v>0</v>
      </c>
      <c r="R38" s="191"/>
      <c r="S38" s="191">
        <f>SUM(S35:S36)</f>
        <v>0</v>
      </c>
      <c r="T38" s="191">
        <f>SUM(T35:T36)</f>
        <v>111439969</v>
      </c>
    </row>
    <row r="39" spans="1:20" s="269" customFormat="1" ht="24.75" customHeight="1" x14ac:dyDescent="0.2">
      <c r="A39" s="485" t="s">
        <v>219</v>
      </c>
      <c r="B39" s="485"/>
      <c r="C39" s="485"/>
      <c r="D39" s="261" t="s">
        <v>337</v>
      </c>
      <c r="E39" s="192">
        <f>E16+E23+E32+E34+E38</f>
        <v>645329374</v>
      </c>
      <c r="F39" s="192"/>
      <c r="G39" s="192">
        <f>G16+G23+G32+G34+G38</f>
        <v>2000</v>
      </c>
      <c r="H39" s="192"/>
      <c r="I39" s="192">
        <f>I16+I23+I32+I34+I38</f>
        <v>661523721</v>
      </c>
      <c r="J39" s="192">
        <f>J16+J23+J32+J34+J38</f>
        <v>3375385</v>
      </c>
      <c r="K39" s="192">
        <f t="shared" ref="K39:M39" si="21">K16+K23+K32+K34+K38</f>
        <v>942499</v>
      </c>
      <c r="L39" s="192">
        <f t="shared" si="21"/>
        <v>2000000</v>
      </c>
      <c r="M39" s="192">
        <f t="shared" si="21"/>
        <v>407000</v>
      </c>
      <c r="N39" s="192">
        <f>N16+N23+N32+N34+N38</f>
        <v>6724884</v>
      </c>
      <c r="O39" s="192">
        <f>O16+O23+O32+O34+O38</f>
        <v>0</v>
      </c>
      <c r="P39" s="192"/>
      <c r="Q39" s="192">
        <f>Q16+Q23+Q32+Q34+Q38</f>
        <v>0</v>
      </c>
      <c r="R39" s="192"/>
      <c r="S39" s="192">
        <f>S16+S23+S32+S34+S38</f>
        <v>0</v>
      </c>
      <c r="T39" s="192">
        <f>T16+T23+T32+T34+T38</f>
        <v>668248605</v>
      </c>
    </row>
    <row r="40" spans="1:20" ht="24" customHeight="1" x14ac:dyDescent="0.2">
      <c r="A40" s="262"/>
      <c r="B40" s="272"/>
      <c r="C40" s="165" t="s">
        <v>281</v>
      </c>
      <c r="D40" s="165" t="s">
        <v>338</v>
      </c>
      <c r="E40" s="166">
        <f>'1. Bevételek'!E39</f>
        <v>650000000</v>
      </c>
      <c r="F40" s="166"/>
      <c r="G40" s="166">
        <f>'1. Bevételek'!I39</f>
        <v>0</v>
      </c>
      <c r="H40" s="166"/>
      <c r="I40" s="166">
        <f>SUM(E40:G40)</f>
        <v>650000000</v>
      </c>
      <c r="J40" s="255">
        <v>0</v>
      </c>
      <c r="K40" s="255"/>
      <c r="L40" s="255">
        <v>0</v>
      </c>
      <c r="M40" s="255"/>
      <c r="N40" s="255">
        <f>SUM(J40:L40)</f>
        <v>0</v>
      </c>
      <c r="O40" s="255">
        <v>0</v>
      </c>
      <c r="P40" s="255"/>
      <c r="Q40" s="255">
        <v>0</v>
      </c>
      <c r="R40" s="255"/>
      <c r="S40" s="255">
        <f>SUM(O40:Q40)</f>
        <v>0</v>
      </c>
      <c r="T40" s="166">
        <f t="shared" ref="T40:T46" si="22">I40+N40+S40</f>
        <v>650000000</v>
      </c>
    </row>
    <row r="41" spans="1:20" ht="18.75" customHeight="1" x14ac:dyDescent="0.2">
      <c r="A41" s="262"/>
      <c r="B41" s="482" t="s">
        <v>282</v>
      </c>
      <c r="C41" s="482"/>
      <c r="D41" s="248" t="s">
        <v>339</v>
      </c>
      <c r="E41" s="191">
        <f t="shared" ref="E41:S41" si="23">SUM(E40)</f>
        <v>650000000</v>
      </c>
      <c r="F41" s="191">
        <f t="shared" si="23"/>
        <v>0</v>
      </c>
      <c r="G41" s="191">
        <f t="shared" si="23"/>
        <v>0</v>
      </c>
      <c r="H41" s="191">
        <f t="shared" si="23"/>
        <v>0</v>
      </c>
      <c r="I41" s="191">
        <f t="shared" si="23"/>
        <v>650000000</v>
      </c>
      <c r="J41" s="191">
        <f t="shared" si="23"/>
        <v>0</v>
      </c>
      <c r="K41" s="191"/>
      <c r="L41" s="191">
        <f t="shared" si="23"/>
        <v>0</v>
      </c>
      <c r="M41" s="191"/>
      <c r="N41" s="191">
        <f t="shared" si="23"/>
        <v>0</v>
      </c>
      <c r="O41" s="191">
        <f t="shared" si="23"/>
        <v>0</v>
      </c>
      <c r="P41" s="191"/>
      <c r="Q41" s="191">
        <f t="shared" si="23"/>
        <v>0</v>
      </c>
      <c r="R41" s="191"/>
      <c r="S41" s="191">
        <f t="shared" si="23"/>
        <v>0</v>
      </c>
      <c r="T41" s="191">
        <f>SUM(T40)</f>
        <v>650000000</v>
      </c>
    </row>
    <row r="42" spans="1:20" ht="17.25" customHeight="1" x14ac:dyDescent="0.2">
      <c r="A42" s="487" t="s">
        <v>46</v>
      </c>
      <c r="B42" s="272"/>
      <c r="C42" s="165" t="s">
        <v>247</v>
      </c>
      <c r="D42" s="165" t="s">
        <v>340</v>
      </c>
      <c r="E42" s="166">
        <f>'1. Bevételek'!E41</f>
        <v>65000000</v>
      </c>
      <c r="F42" s="166"/>
      <c r="G42" s="166">
        <f>'1. Bevételek'!I41</f>
        <v>0</v>
      </c>
      <c r="H42" s="166"/>
      <c r="I42" s="166">
        <f>SUM(E42:G42)</f>
        <v>65000000</v>
      </c>
      <c r="J42" s="255">
        <v>0</v>
      </c>
      <c r="K42" s="255"/>
      <c r="L42" s="255">
        <v>0</v>
      </c>
      <c r="M42" s="255"/>
      <c r="N42" s="255">
        <f>SUM(J42:L42)</f>
        <v>0</v>
      </c>
      <c r="O42" s="255">
        <v>0</v>
      </c>
      <c r="P42" s="255"/>
      <c r="Q42" s="255">
        <v>0</v>
      </c>
      <c r="R42" s="255"/>
      <c r="S42" s="255">
        <f>SUM(O42:Q42)</f>
        <v>0</v>
      </c>
      <c r="T42" s="166">
        <f t="shared" si="22"/>
        <v>65000000</v>
      </c>
    </row>
    <row r="43" spans="1:20" ht="18.75" customHeight="1" x14ac:dyDescent="0.2">
      <c r="A43" s="487"/>
      <c r="B43" s="482" t="s">
        <v>246</v>
      </c>
      <c r="C43" s="482"/>
      <c r="D43" s="248" t="s">
        <v>340</v>
      </c>
      <c r="E43" s="191">
        <f t="shared" ref="E43:S43" si="24">SUM(E42)</f>
        <v>65000000</v>
      </c>
      <c r="F43" s="191">
        <f t="shared" si="24"/>
        <v>0</v>
      </c>
      <c r="G43" s="191">
        <f t="shared" si="24"/>
        <v>0</v>
      </c>
      <c r="H43" s="191">
        <f t="shared" si="24"/>
        <v>0</v>
      </c>
      <c r="I43" s="191">
        <f t="shared" si="24"/>
        <v>65000000</v>
      </c>
      <c r="J43" s="191">
        <f t="shared" si="24"/>
        <v>0</v>
      </c>
      <c r="K43" s="191"/>
      <c r="L43" s="191">
        <f t="shared" si="24"/>
        <v>0</v>
      </c>
      <c r="M43" s="191"/>
      <c r="N43" s="191">
        <f t="shared" si="24"/>
        <v>0</v>
      </c>
      <c r="O43" s="191">
        <f t="shared" si="24"/>
        <v>0</v>
      </c>
      <c r="P43" s="191"/>
      <c r="Q43" s="191">
        <f t="shared" si="24"/>
        <v>0</v>
      </c>
      <c r="R43" s="191"/>
      <c r="S43" s="191">
        <f t="shared" si="24"/>
        <v>0</v>
      </c>
      <c r="T43" s="191">
        <f>SUM(T42)</f>
        <v>65000000</v>
      </c>
    </row>
    <row r="44" spans="1:20" ht="15" customHeight="1" x14ac:dyDescent="0.2">
      <c r="A44" s="487" t="s">
        <v>48</v>
      </c>
      <c r="B44" s="272"/>
      <c r="C44" s="165" t="s">
        <v>276</v>
      </c>
      <c r="D44" s="165" t="s">
        <v>419</v>
      </c>
      <c r="E44" s="166">
        <f>'1. Bevételek'!E43</f>
        <v>141599305</v>
      </c>
      <c r="F44" s="166"/>
      <c r="G44" s="166">
        <f>'1. Bevételek'!I43</f>
        <v>941822</v>
      </c>
      <c r="H44" s="166"/>
      <c r="I44" s="166">
        <f>SUM(E44:G44)</f>
        <v>142541127</v>
      </c>
      <c r="J44" s="255">
        <v>0</v>
      </c>
      <c r="K44" s="255"/>
      <c r="L44" s="255">
        <v>0</v>
      </c>
      <c r="M44" s="255"/>
      <c r="N44" s="255">
        <f>SUM(J44:L44)</f>
        <v>0</v>
      </c>
      <c r="O44" s="255">
        <v>0</v>
      </c>
      <c r="P44" s="255"/>
      <c r="Q44" s="255">
        <v>0</v>
      </c>
      <c r="R44" s="255"/>
      <c r="S44" s="255">
        <f>SUM(O44:Q44)</f>
        <v>0</v>
      </c>
      <c r="T44" s="166">
        <f t="shared" si="22"/>
        <v>142541127</v>
      </c>
    </row>
    <row r="45" spans="1:20" ht="17.25" customHeight="1" x14ac:dyDescent="0.2">
      <c r="A45" s="487"/>
      <c r="B45" s="482" t="s">
        <v>248</v>
      </c>
      <c r="C45" s="482"/>
      <c r="D45" s="248" t="s">
        <v>420</v>
      </c>
      <c r="E45" s="191">
        <f t="shared" ref="E45:S45" si="25">SUM(E44)</f>
        <v>141599305</v>
      </c>
      <c r="F45" s="191">
        <f t="shared" si="25"/>
        <v>0</v>
      </c>
      <c r="G45" s="191">
        <f t="shared" si="25"/>
        <v>941822</v>
      </c>
      <c r="H45" s="191">
        <f t="shared" si="25"/>
        <v>0</v>
      </c>
      <c r="I45" s="191">
        <f t="shared" si="25"/>
        <v>142541127</v>
      </c>
      <c r="J45" s="191">
        <f t="shared" si="25"/>
        <v>0</v>
      </c>
      <c r="K45" s="191"/>
      <c r="L45" s="191">
        <f t="shared" si="25"/>
        <v>0</v>
      </c>
      <c r="M45" s="191"/>
      <c r="N45" s="191">
        <f t="shared" si="25"/>
        <v>0</v>
      </c>
      <c r="O45" s="191">
        <f t="shared" si="25"/>
        <v>0</v>
      </c>
      <c r="P45" s="191"/>
      <c r="Q45" s="191">
        <f t="shared" si="25"/>
        <v>0</v>
      </c>
      <c r="R45" s="191"/>
      <c r="S45" s="191">
        <f t="shared" si="25"/>
        <v>0</v>
      </c>
      <c r="T45" s="191">
        <f>SUM(T44)</f>
        <v>142541127</v>
      </c>
    </row>
    <row r="46" spans="1:20" ht="15.75" customHeight="1" x14ac:dyDescent="0.2">
      <c r="A46" s="488" t="s">
        <v>49</v>
      </c>
      <c r="B46" s="272"/>
      <c r="C46" s="165" t="s">
        <v>279</v>
      </c>
      <c r="D46" s="165" t="s">
        <v>341</v>
      </c>
      <c r="E46" s="255">
        <v>0</v>
      </c>
      <c r="F46" s="255"/>
      <c r="G46" s="166">
        <f>'1. Bevételek'!I45</f>
        <v>105524914</v>
      </c>
      <c r="H46" s="166"/>
      <c r="I46" s="255">
        <f>SUM(E46:G46)</f>
        <v>105524914</v>
      </c>
      <c r="J46" s="255">
        <v>0</v>
      </c>
      <c r="K46" s="255"/>
      <c r="L46" s="255">
        <v>0</v>
      </c>
      <c r="M46" s="255"/>
      <c r="N46" s="255">
        <f>SUM(J46:L46)</f>
        <v>0</v>
      </c>
      <c r="O46" s="255">
        <v>0</v>
      </c>
      <c r="P46" s="255"/>
      <c r="Q46" s="255">
        <v>0</v>
      </c>
      <c r="R46" s="255"/>
      <c r="S46" s="255">
        <f>SUM(O46:Q46)</f>
        <v>0</v>
      </c>
      <c r="T46" s="166">
        <f t="shared" si="22"/>
        <v>105524914</v>
      </c>
    </row>
    <row r="47" spans="1:20" ht="18" customHeight="1" x14ac:dyDescent="0.2">
      <c r="A47" s="489"/>
      <c r="B47" s="482" t="s">
        <v>280</v>
      </c>
      <c r="C47" s="482"/>
      <c r="D47" s="248" t="s">
        <v>342</v>
      </c>
      <c r="E47" s="191">
        <f t="shared" ref="E47:S47" si="26">SUM(E46)</f>
        <v>0</v>
      </c>
      <c r="F47" s="191">
        <f t="shared" si="26"/>
        <v>0</v>
      </c>
      <c r="G47" s="191">
        <f t="shared" si="26"/>
        <v>105524914</v>
      </c>
      <c r="H47" s="191">
        <f t="shared" si="26"/>
        <v>0</v>
      </c>
      <c r="I47" s="191">
        <f t="shared" si="26"/>
        <v>105524914</v>
      </c>
      <c r="J47" s="191">
        <f t="shared" si="26"/>
        <v>0</v>
      </c>
      <c r="K47" s="191"/>
      <c r="L47" s="191">
        <f t="shared" si="26"/>
        <v>0</v>
      </c>
      <c r="M47" s="191"/>
      <c r="N47" s="191">
        <f t="shared" si="26"/>
        <v>0</v>
      </c>
      <c r="O47" s="191">
        <f t="shared" si="26"/>
        <v>0</v>
      </c>
      <c r="P47" s="191"/>
      <c r="Q47" s="191">
        <f t="shared" si="26"/>
        <v>0</v>
      </c>
      <c r="R47" s="191"/>
      <c r="S47" s="191">
        <f t="shared" si="26"/>
        <v>0</v>
      </c>
      <c r="T47" s="191">
        <f>SUM(T46)</f>
        <v>105524914</v>
      </c>
    </row>
    <row r="48" spans="1:20" s="267" customFormat="1" ht="21.75" customHeight="1" x14ac:dyDescent="0.2">
      <c r="A48" s="485" t="s">
        <v>249</v>
      </c>
      <c r="B48" s="485"/>
      <c r="C48" s="485"/>
      <c r="D48" s="261" t="s">
        <v>343</v>
      </c>
      <c r="E48" s="192">
        <f>E43+E45+E47+E41</f>
        <v>856599305</v>
      </c>
      <c r="F48" s="192">
        <f t="shared" ref="F48:H48" si="27">F43+F45+F47+F41</f>
        <v>0</v>
      </c>
      <c r="G48" s="192">
        <f t="shared" si="27"/>
        <v>106466736</v>
      </c>
      <c r="H48" s="192">
        <f t="shared" si="27"/>
        <v>0</v>
      </c>
      <c r="I48" s="192">
        <f t="shared" ref="I48:S48" si="28">I43+I45+I47+I41</f>
        <v>963066041</v>
      </c>
      <c r="J48" s="192">
        <f t="shared" si="28"/>
        <v>0</v>
      </c>
      <c r="K48" s="192">
        <f t="shared" si="28"/>
        <v>0</v>
      </c>
      <c r="L48" s="192">
        <f t="shared" si="28"/>
        <v>0</v>
      </c>
      <c r="M48" s="192">
        <f t="shared" si="28"/>
        <v>0</v>
      </c>
      <c r="N48" s="192">
        <f t="shared" si="28"/>
        <v>0</v>
      </c>
      <c r="O48" s="192">
        <f t="shared" si="28"/>
        <v>0</v>
      </c>
      <c r="P48" s="192"/>
      <c r="Q48" s="192">
        <f t="shared" si="28"/>
        <v>0</v>
      </c>
      <c r="R48" s="192"/>
      <c r="S48" s="192">
        <f t="shared" si="28"/>
        <v>0</v>
      </c>
      <c r="T48" s="192">
        <f>T43+T45+T47+T41</f>
        <v>963066041</v>
      </c>
    </row>
    <row r="49" spans="1:20" s="159" customFormat="1" ht="22.5" customHeight="1" x14ac:dyDescent="0.2">
      <c r="A49" s="486" t="s">
        <v>250</v>
      </c>
      <c r="B49" s="486"/>
      <c r="C49" s="486"/>
      <c r="D49" s="250"/>
      <c r="E49" s="175">
        <f t="shared" ref="E49:S49" si="29">E39+E48</f>
        <v>1501928679</v>
      </c>
      <c r="F49" s="175">
        <f t="shared" si="29"/>
        <v>0</v>
      </c>
      <c r="G49" s="175">
        <f t="shared" si="29"/>
        <v>106468736</v>
      </c>
      <c r="H49" s="175">
        <f t="shared" si="29"/>
        <v>0</v>
      </c>
      <c r="I49" s="175">
        <f t="shared" si="29"/>
        <v>1624589762</v>
      </c>
      <c r="J49" s="175">
        <f t="shared" si="29"/>
        <v>3375385</v>
      </c>
      <c r="K49" s="175">
        <f t="shared" si="29"/>
        <v>942499</v>
      </c>
      <c r="L49" s="175">
        <f t="shared" si="29"/>
        <v>2000000</v>
      </c>
      <c r="M49" s="175">
        <f t="shared" si="29"/>
        <v>407000</v>
      </c>
      <c r="N49" s="175">
        <f t="shared" si="29"/>
        <v>6724884</v>
      </c>
      <c r="O49" s="175">
        <f t="shared" si="29"/>
        <v>0</v>
      </c>
      <c r="P49" s="175"/>
      <c r="Q49" s="175">
        <f t="shared" si="29"/>
        <v>0</v>
      </c>
      <c r="R49" s="175"/>
      <c r="S49" s="175">
        <f t="shared" si="29"/>
        <v>0</v>
      </c>
      <c r="T49" s="175">
        <f>T39+T48</f>
        <v>1631314646</v>
      </c>
    </row>
    <row r="52" spans="1:20" x14ac:dyDescent="0.2">
      <c r="I52" s="263"/>
      <c r="J52" s="263"/>
      <c r="K52" s="263"/>
    </row>
  </sheetData>
  <mergeCells count="37">
    <mergeCell ref="A1:T1"/>
    <mergeCell ref="A3:C5"/>
    <mergeCell ref="D3:D5"/>
    <mergeCell ref="E3:T3"/>
    <mergeCell ref="I4:I5"/>
    <mergeCell ref="N4:N5"/>
    <mergeCell ref="S4:S5"/>
    <mergeCell ref="T4:T5"/>
    <mergeCell ref="A2:S2"/>
    <mergeCell ref="E4:H4"/>
    <mergeCell ref="J4:M4"/>
    <mergeCell ref="O4:R4"/>
    <mergeCell ref="A6:A16"/>
    <mergeCell ref="B10:C10"/>
    <mergeCell ref="B15:C15"/>
    <mergeCell ref="B16:C16"/>
    <mergeCell ref="B41:C41"/>
    <mergeCell ref="A17:A23"/>
    <mergeCell ref="B17:C17"/>
    <mergeCell ref="B21:C21"/>
    <mergeCell ref="B22:C22"/>
    <mergeCell ref="B23:C23"/>
    <mergeCell ref="A24:A32"/>
    <mergeCell ref="B32:C32"/>
    <mergeCell ref="A33:A34"/>
    <mergeCell ref="B34:C34"/>
    <mergeCell ref="A35:A38"/>
    <mergeCell ref="B38:C38"/>
    <mergeCell ref="A39:C39"/>
    <mergeCell ref="A48:C48"/>
    <mergeCell ref="A49:C49"/>
    <mergeCell ref="A42:A43"/>
    <mergeCell ref="B43:C43"/>
    <mergeCell ref="A44:A45"/>
    <mergeCell ref="B45:C45"/>
    <mergeCell ref="A46:A47"/>
    <mergeCell ref="B47:C47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tabColor indexed="11"/>
    <pageSetUpPr fitToPage="1"/>
  </sheetPr>
  <dimension ref="A1:P31"/>
  <sheetViews>
    <sheetView tabSelected="1" topLeftCell="B1" zoomScaleNormal="100" zoomScaleSheetLayoutView="100" workbookViewId="0">
      <selection activeCell="O31" sqref="O31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0" customWidth="1"/>
    <col min="5" max="5" width="12.5703125" style="194" customWidth="1"/>
    <col min="6" max="6" width="13.42578125" style="194" bestFit="1" customWidth="1"/>
    <col min="7" max="8" width="12.5703125" style="194" customWidth="1"/>
    <col min="9" max="9" width="14.5703125" style="194" bestFit="1" customWidth="1"/>
    <col min="10" max="12" width="14.5703125" style="194" customWidth="1"/>
    <col min="13" max="16" width="14" customWidth="1"/>
  </cols>
  <sheetData>
    <row r="1" spans="1:16" ht="21.75" customHeight="1" x14ac:dyDescent="0.2">
      <c r="A1" s="465" t="s">
        <v>429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6" ht="28.5" customHeight="1" x14ac:dyDescent="0.2">
      <c r="A2" s="466" t="s">
        <v>102</v>
      </c>
      <c r="B2" s="466"/>
      <c r="C2" s="466"/>
      <c r="D2" s="466"/>
      <c r="E2" s="466"/>
      <c r="F2" s="466"/>
      <c r="G2" s="466"/>
      <c r="H2" s="466"/>
      <c r="I2" s="466"/>
      <c r="J2" s="431"/>
      <c r="K2" s="431"/>
      <c r="L2" s="431"/>
      <c r="N2" s="296"/>
      <c r="O2" s="296"/>
      <c r="P2" s="296" t="s">
        <v>380</v>
      </c>
    </row>
    <row r="3" spans="1:16" ht="36.75" customHeight="1" x14ac:dyDescent="0.2">
      <c r="A3" s="471" t="s">
        <v>36</v>
      </c>
      <c r="B3" s="472"/>
      <c r="C3" s="473"/>
      <c r="D3" s="516" t="s">
        <v>309</v>
      </c>
      <c r="E3" s="477" t="s">
        <v>369</v>
      </c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6" ht="30" x14ac:dyDescent="0.2">
      <c r="A4" s="474"/>
      <c r="B4" s="475"/>
      <c r="C4" s="476"/>
      <c r="D4" s="517"/>
      <c r="E4" s="172" t="s">
        <v>201</v>
      </c>
      <c r="F4" s="172" t="s">
        <v>426</v>
      </c>
      <c r="G4" s="172" t="s">
        <v>427</v>
      </c>
      <c r="H4" s="172" t="s">
        <v>428</v>
      </c>
      <c r="I4" s="172" t="s">
        <v>278</v>
      </c>
      <c r="J4" s="172" t="s">
        <v>426</v>
      </c>
      <c r="K4" s="172" t="s">
        <v>427</v>
      </c>
      <c r="L4" s="172" t="s">
        <v>428</v>
      </c>
      <c r="M4" s="172" t="s">
        <v>441</v>
      </c>
      <c r="N4" s="172" t="s">
        <v>433</v>
      </c>
      <c r="O4" s="172" t="s">
        <v>432</v>
      </c>
      <c r="P4" s="172" t="s">
        <v>428</v>
      </c>
    </row>
    <row r="5" spans="1:16" s="160" customFormat="1" ht="16.5" customHeight="1" x14ac:dyDescent="0.2">
      <c r="A5" s="514" t="s">
        <v>37</v>
      </c>
      <c r="B5" s="164"/>
      <c r="C5" s="165" t="s">
        <v>252</v>
      </c>
      <c r="D5" s="165" t="str">
        <f>'2.1.Kiadások (KÖT, ÖNV, Áll.i)'!D6</f>
        <v>K11</v>
      </c>
      <c r="E5" s="166">
        <v>32734051</v>
      </c>
      <c r="F5" s="166">
        <f>G5-E5</f>
        <v>1808201</v>
      </c>
      <c r="G5" s="166">
        <v>34542252</v>
      </c>
      <c r="H5" s="166">
        <v>15242357</v>
      </c>
      <c r="I5" s="166">
        <v>81710304</v>
      </c>
      <c r="J5" s="166">
        <f>K5-I5</f>
        <v>299601</v>
      </c>
      <c r="K5" s="166">
        <v>82009905</v>
      </c>
      <c r="L5" s="166">
        <v>40542428</v>
      </c>
      <c r="M5" s="166">
        <f>E5+I5</f>
        <v>114444355</v>
      </c>
      <c r="N5" s="166">
        <f>F5+J5</f>
        <v>2107802</v>
      </c>
      <c r="O5" s="166">
        <f>G5+K5</f>
        <v>116552157</v>
      </c>
      <c r="P5" s="166">
        <f>H5+L5</f>
        <v>55784785</v>
      </c>
    </row>
    <row r="6" spans="1:16" s="160" customFormat="1" ht="16.5" customHeight="1" x14ac:dyDescent="0.2">
      <c r="A6" s="514"/>
      <c r="B6" s="164"/>
      <c r="C6" s="165" t="s">
        <v>253</v>
      </c>
      <c r="D6" s="165" t="str">
        <f>'2.1.Kiadások (KÖT, ÖNV, Áll.i)'!D7</f>
        <v>K12</v>
      </c>
      <c r="E6" s="166">
        <v>18853081</v>
      </c>
      <c r="F6" s="166">
        <f>G6-E6</f>
        <v>-63830</v>
      </c>
      <c r="G6" s="166">
        <v>18789251</v>
      </c>
      <c r="H6" s="166">
        <v>6017032</v>
      </c>
      <c r="I6" s="166">
        <v>1100000</v>
      </c>
      <c r="J6" s="166">
        <f>K6-I6</f>
        <v>0</v>
      </c>
      <c r="K6" s="166">
        <v>1100000</v>
      </c>
      <c r="L6" s="166">
        <v>18030</v>
      </c>
      <c r="M6" s="166">
        <f>E6+I6</f>
        <v>19953081</v>
      </c>
      <c r="N6" s="166">
        <f>F6+J6</f>
        <v>-63830</v>
      </c>
      <c r="O6" s="166">
        <f t="shared" ref="O6:P29" si="0">G6+K6</f>
        <v>19889251</v>
      </c>
      <c r="P6" s="166">
        <f t="shared" ref="P6:P26" si="1">H6+L6</f>
        <v>6035062</v>
      </c>
    </row>
    <row r="7" spans="1:16" s="163" customFormat="1" ht="21.75" customHeight="1" x14ac:dyDescent="0.2">
      <c r="A7" s="514"/>
      <c r="B7" s="468" t="s">
        <v>251</v>
      </c>
      <c r="C7" s="468"/>
      <c r="D7" s="312" t="str">
        <f>'2.1.Kiadások (KÖT, ÖNV, Áll.i)'!D8</f>
        <v>K1</v>
      </c>
      <c r="E7" s="190">
        <f t="shared" ref="E7:L7" si="2">SUM(E5:E6)</f>
        <v>51587132</v>
      </c>
      <c r="F7" s="190">
        <f t="shared" si="2"/>
        <v>1744371</v>
      </c>
      <c r="G7" s="190">
        <f t="shared" si="2"/>
        <v>53331503</v>
      </c>
      <c r="H7" s="190">
        <f t="shared" si="2"/>
        <v>21259389</v>
      </c>
      <c r="I7" s="190">
        <f t="shared" si="2"/>
        <v>82810304</v>
      </c>
      <c r="J7" s="190">
        <f t="shared" si="2"/>
        <v>299601</v>
      </c>
      <c r="K7" s="190">
        <f t="shared" si="2"/>
        <v>83109905</v>
      </c>
      <c r="L7" s="190">
        <f t="shared" si="2"/>
        <v>40560458</v>
      </c>
      <c r="M7" s="173">
        <f>E7+I7</f>
        <v>134397436</v>
      </c>
      <c r="N7" s="173">
        <f t="shared" ref="N7:N29" si="3">F7+J7</f>
        <v>2043972</v>
      </c>
      <c r="O7" s="173">
        <f t="shared" si="0"/>
        <v>136441408</v>
      </c>
      <c r="P7" s="173">
        <f t="shared" si="1"/>
        <v>61819847</v>
      </c>
    </row>
    <row r="8" spans="1:16" s="163" customFormat="1" ht="22.5" customHeight="1" x14ac:dyDescent="0.2">
      <c r="A8" s="178" t="s">
        <v>38</v>
      </c>
      <c r="B8" s="468" t="s">
        <v>254</v>
      </c>
      <c r="C8" s="468"/>
      <c r="D8" s="312" t="str">
        <f>'2.1.Kiadások (KÖT, ÖNV, Áll.i)'!D9</f>
        <v>K2</v>
      </c>
      <c r="E8" s="190">
        <v>8843520</v>
      </c>
      <c r="F8" s="190">
        <f>G8-E8</f>
        <v>-38571</v>
      </c>
      <c r="G8" s="190">
        <v>8804949</v>
      </c>
      <c r="H8" s="190">
        <v>3116426</v>
      </c>
      <c r="I8" s="190">
        <v>14696450</v>
      </c>
      <c r="J8" s="190">
        <f>K8-I8</f>
        <v>-299601</v>
      </c>
      <c r="K8" s="190">
        <v>14396849</v>
      </c>
      <c r="L8" s="190">
        <v>7531600</v>
      </c>
      <c r="M8" s="173">
        <f>E8+I8</f>
        <v>23539970</v>
      </c>
      <c r="N8" s="173">
        <f t="shared" si="3"/>
        <v>-338172</v>
      </c>
      <c r="O8" s="173">
        <f t="shared" si="0"/>
        <v>23201798</v>
      </c>
      <c r="P8" s="173">
        <f t="shared" si="1"/>
        <v>10648026</v>
      </c>
    </row>
    <row r="9" spans="1:16" s="160" customFormat="1" ht="13.5" customHeight="1" x14ac:dyDescent="0.2">
      <c r="A9" s="470" t="s">
        <v>39</v>
      </c>
      <c r="B9" s="164"/>
      <c r="C9" s="165" t="s">
        <v>255</v>
      </c>
      <c r="D9" s="427" t="str">
        <f>'2.1.Kiadások (KÖT, ÖNV, Áll.i)'!D10</f>
        <v>K31</v>
      </c>
      <c r="E9" s="166">
        <v>5717990</v>
      </c>
      <c r="F9" s="166">
        <f>G9-E9</f>
        <v>0</v>
      </c>
      <c r="G9" s="166">
        <v>5717990</v>
      </c>
      <c r="H9" s="166">
        <v>2327892</v>
      </c>
      <c r="I9" s="166">
        <v>2307880</v>
      </c>
      <c r="J9" s="166">
        <f>K9-I9</f>
        <v>0</v>
      </c>
      <c r="K9" s="166">
        <v>2307880</v>
      </c>
      <c r="L9" s="166">
        <v>781610</v>
      </c>
      <c r="M9" s="166">
        <f>E9+I9</f>
        <v>8025870</v>
      </c>
      <c r="N9" s="166">
        <f t="shared" si="3"/>
        <v>0</v>
      </c>
      <c r="O9" s="166">
        <f t="shared" si="0"/>
        <v>8025870</v>
      </c>
      <c r="P9" s="166">
        <f t="shared" si="1"/>
        <v>3109502</v>
      </c>
    </row>
    <row r="10" spans="1:16" s="160" customFormat="1" ht="13.5" customHeight="1" x14ac:dyDescent="0.2">
      <c r="A10" s="470"/>
      <c r="B10" s="164"/>
      <c r="C10" s="165" t="s">
        <v>256</v>
      </c>
      <c r="D10" s="165" t="str">
        <f>'2.1.Kiadások (KÖT, ÖNV, Áll.i)'!D11</f>
        <v>K32</v>
      </c>
      <c r="E10" s="166">
        <v>2709418</v>
      </c>
      <c r="F10" s="166">
        <f t="shared" ref="F10:F13" si="4">G10-E10</f>
        <v>0</v>
      </c>
      <c r="G10" s="166">
        <v>2709418</v>
      </c>
      <c r="H10" s="166">
        <v>840444</v>
      </c>
      <c r="I10" s="166">
        <v>282840</v>
      </c>
      <c r="J10" s="166">
        <f t="shared" ref="J10:J13" si="5">K10-I10</f>
        <v>0</v>
      </c>
      <c r="K10" s="166">
        <v>282840</v>
      </c>
      <c r="L10" s="166">
        <v>140761</v>
      </c>
      <c r="M10" s="166">
        <f t="shared" ref="M10:M13" si="6">E10+I10</f>
        <v>2992258</v>
      </c>
      <c r="N10" s="166">
        <f t="shared" si="3"/>
        <v>0</v>
      </c>
      <c r="O10" s="166">
        <f t="shared" si="0"/>
        <v>2992258</v>
      </c>
      <c r="P10" s="166">
        <f t="shared" si="1"/>
        <v>981205</v>
      </c>
    </row>
    <row r="11" spans="1:16" s="160" customFormat="1" ht="13.5" customHeight="1" x14ac:dyDescent="0.2">
      <c r="A11" s="470"/>
      <c r="B11" s="164"/>
      <c r="C11" s="165" t="s">
        <v>257</v>
      </c>
      <c r="D11" s="165" t="str">
        <f>'2.1.Kiadások (KÖT, ÖNV, Áll.i)'!D12</f>
        <v>K33</v>
      </c>
      <c r="E11" s="166">
        <v>58734253</v>
      </c>
      <c r="F11" s="166">
        <f t="shared" si="4"/>
        <v>1121993</v>
      </c>
      <c r="G11" s="166">
        <v>59856246</v>
      </c>
      <c r="H11" s="166">
        <v>20659091</v>
      </c>
      <c r="I11" s="166">
        <v>4928100</v>
      </c>
      <c r="J11" s="166">
        <f t="shared" si="5"/>
        <v>407000</v>
      </c>
      <c r="K11" s="166">
        <v>5335100</v>
      </c>
      <c r="L11" s="166">
        <v>2656414</v>
      </c>
      <c r="M11" s="166">
        <f t="shared" si="6"/>
        <v>63662353</v>
      </c>
      <c r="N11" s="166">
        <f t="shared" si="3"/>
        <v>1528993</v>
      </c>
      <c r="O11" s="166">
        <f t="shared" si="0"/>
        <v>65191346</v>
      </c>
      <c r="P11" s="166">
        <f t="shared" si="1"/>
        <v>23315505</v>
      </c>
    </row>
    <row r="12" spans="1:16" s="160" customFormat="1" ht="13.5" customHeight="1" x14ac:dyDescent="0.2">
      <c r="A12" s="470"/>
      <c r="B12" s="164"/>
      <c r="C12" s="165" t="s">
        <v>258</v>
      </c>
      <c r="D12" s="165" t="str">
        <f>'2.1.Kiadások (KÖT, ÖNV, Áll.i)'!D14</f>
        <v>K34</v>
      </c>
      <c r="E12" s="166">
        <v>507000</v>
      </c>
      <c r="F12" s="166">
        <f t="shared" si="4"/>
        <v>0</v>
      </c>
      <c r="G12" s="166">
        <v>507000</v>
      </c>
      <c r="H12" s="166">
        <v>33521</v>
      </c>
      <c r="I12" s="166">
        <v>1330000</v>
      </c>
      <c r="J12" s="166">
        <f t="shared" si="5"/>
        <v>0</v>
      </c>
      <c r="K12" s="166">
        <v>1330000</v>
      </c>
      <c r="L12" s="166">
        <v>515633</v>
      </c>
      <c r="M12" s="166">
        <f t="shared" si="6"/>
        <v>1837000</v>
      </c>
      <c r="N12" s="166">
        <f t="shared" si="3"/>
        <v>0</v>
      </c>
      <c r="O12" s="166">
        <f t="shared" si="0"/>
        <v>1837000</v>
      </c>
      <c r="P12" s="166">
        <f t="shared" si="1"/>
        <v>549154</v>
      </c>
    </row>
    <row r="13" spans="1:16" s="160" customFormat="1" ht="13.5" customHeight="1" x14ac:dyDescent="0.2">
      <c r="A13" s="470"/>
      <c r="B13" s="164"/>
      <c r="C13" s="165" t="s">
        <v>259</v>
      </c>
      <c r="D13" s="165" t="str">
        <f>'2.1.Kiadások (KÖT, ÖNV, Áll.i)'!D15</f>
        <v>K35</v>
      </c>
      <c r="E13" s="166">
        <f>22891939+14396417</f>
        <v>37288356</v>
      </c>
      <c r="F13" s="166">
        <f t="shared" si="4"/>
        <v>0</v>
      </c>
      <c r="G13" s="166">
        <v>37288356</v>
      </c>
      <c r="H13" s="166">
        <v>6077173</v>
      </c>
      <c r="I13" s="166">
        <v>1171340</v>
      </c>
      <c r="J13" s="166">
        <f t="shared" si="5"/>
        <v>0</v>
      </c>
      <c r="K13" s="166">
        <v>1171340</v>
      </c>
      <c r="L13" s="166">
        <v>395532</v>
      </c>
      <c r="M13" s="166">
        <f t="shared" si="6"/>
        <v>38459696</v>
      </c>
      <c r="N13" s="166">
        <f t="shared" si="3"/>
        <v>0</v>
      </c>
      <c r="O13" s="166">
        <f t="shared" si="0"/>
        <v>38459696</v>
      </c>
      <c r="P13" s="166">
        <f t="shared" si="1"/>
        <v>6472705</v>
      </c>
    </row>
    <row r="14" spans="1:16" s="163" customFormat="1" ht="19.5" customHeight="1" x14ac:dyDescent="0.2">
      <c r="A14" s="470"/>
      <c r="B14" s="468" t="s">
        <v>260</v>
      </c>
      <c r="C14" s="468"/>
      <c r="D14" s="312" t="str">
        <f>'2.1.Kiadások (KÖT, ÖNV, Áll.i)'!D16</f>
        <v>K3</v>
      </c>
      <c r="E14" s="190">
        <f t="shared" ref="E14:L14" si="7">SUM(E9:E13)</f>
        <v>104957017</v>
      </c>
      <c r="F14" s="190">
        <f t="shared" si="7"/>
        <v>1121993</v>
      </c>
      <c r="G14" s="190">
        <f t="shared" si="7"/>
        <v>106079010</v>
      </c>
      <c r="H14" s="190">
        <f t="shared" si="7"/>
        <v>29938121</v>
      </c>
      <c r="I14" s="190">
        <f t="shared" si="7"/>
        <v>10020160</v>
      </c>
      <c r="J14" s="190">
        <f t="shared" si="7"/>
        <v>407000</v>
      </c>
      <c r="K14" s="190">
        <f t="shared" si="7"/>
        <v>10427160</v>
      </c>
      <c r="L14" s="190">
        <f t="shared" si="7"/>
        <v>4489950</v>
      </c>
      <c r="M14" s="173">
        <f>E14+I14</f>
        <v>114977177</v>
      </c>
      <c r="N14" s="173">
        <f t="shared" si="3"/>
        <v>1528993</v>
      </c>
      <c r="O14" s="173">
        <f t="shared" si="0"/>
        <v>116506170</v>
      </c>
      <c r="P14" s="173">
        <f t="shared" si="1"/>
        <v>34428071</v>
      </c>
    </row>
    <row r="15" spans="1:16" s="163" customFormat="1" ht="25.5" customHeight="1" x14ac:dyDescent="0.2">
      <c r="A15" s="167" t="s">
        <v>40</v>
      </c>
      <c r="B15" s="468" t="s">
        <v>105</v>
      </c>
      <c r="C15" s="468"/>
      <c r="D15" s="312" t="str">
        <f>'2.1.Kiadások (KÖT, ÖNV, Áll.i)'!D17</f>
        <v>K4</v>
      </c>
      <c r="E15" s="190">
        <v>1400000</v>
      </c>
      <c r="F15" s="190">
        <f>G15-E15</f>
        <v>0</v>
      </c>
      <c r="G15" s="190">
        <v>1400000</v>
      </c>
      <c r="H15" s="190">
        <v>358725</v>
      </c>
      <c r="I15" s="190">
        <v>0</v>
      </c>
      <c r="J15" s="190">
        <f>K15-I15</f>
        <v>0</v>
      </c>
      <c r="K15" s="190">
        <v>0</v>
      </c>
      <c r="L15" s="190"/>
      <c r="M15" s="173">
        <f t="shared" ref="M15:M30" si="8">E15+I15</f>
        <v>1400000</v>
      </c>
      <c r="N15" s="173">
        <f t="shared" si="3"/>
        <v>0</v>
      </c>
      <c r="O15" s="173">
        <f t="shared" si="0"/>
        <v>1400000</v>
      </c>
      <c r="P15" s="173">
        <f t="shared" si="1"/>
        <v>358725</v>
      </c>
    </row>
    <row r="16" spans="1:16" s="163" customFormat="1" ht="25.5" customHeight="1" x14ac:dyDescent="0.2">
      <c r="A16" s="167" t="s">
        <v>41</v>
      </c>
      <c r="B16" s="468" t="s">
        <v>261</v>
      </c>
      <c r="C16" s="468"/>
      <c r="D16" s="312" t="str">
        <f>'2.1.Kiadások (KÖT, ÖNV, Áll.i)'!D18</f>
        <v>K502</v>
      </c>
      <c r="E16" s="190">
        <v>5744100</v>
      </c>
      <c r="F16" s="190">
        <f>G16-E16</f>
        <v>4350819</v>
      </c>
      <c r="G16" s="190">
        <v>10094919</v>
      </c>
      <c r="H16" s="190">
        <v>10094919</v>
      </c>
      <c r="I16" s="190">
        <v>0</v>
      </c>
      <c r="J16" s="190">
        <f>K16-I16</f>
        <v>0</v>
      </c>
      <c r="K16" s="190">
        <v>0</v>
      </c>
      <c r="L16" s="190"/>
      <c r="M16" s="173">
        <f t="shared" si="8"/>
        <v>5744100</v>
      </c>
      <c r="N16" s="173">
        <f t="shared" si="3"/>
        <v>4350819</v>
      </c>
      <c r="O16" s="173">
        <f t="shared" si="0"/>
        <v>10094919</v>
      </c>
      <c r="P16" s="173">
        <f t="shared" si="1"/>
        <v>10094919</v>
      </c>
    </row>
    <row r="17" spans="1:16" x14ac:dyDescent="0.2">
      <c r="A17" s="483" t="s">
        <v>46</v>
      </c>
      <c r="B17" s="164"/>
      <c r="C17" s="165" t="s">
        <v>262</v>
      </c>
      <c r="D17" s="165" t="str">
        <f>'2.1.Kiadások (KÖT, ÖNV, Áll.i)'!D19</f>
        <v>K506</v>
      </c>
      <c r="E17" s="166">
        <v>247363673</v>
      </c>
      <c r="F17" s="166">
        <f t="shared" ref="F17:F18" si="9">G17-E17</f>
        <v>0</v>
      </c>
      <c r="G17" s="166">
        <v>247363673</v>
      </c>
      <c r="H17" s="166">
        <v>109825060</v>
      </c>
      <c r="I17" s="166">
        <v>941822</v>
      </c>
      <c r="J17" s="166">
        <f>K17-I17</f>
        <v>0</v>
      </c>
      <c r="K17" s="166">
        <v>941822</v>
      </c>
      <c r="L17" s="166"/>
      <c r="M17" s="166">
        <f t="shared" si="8"/>
        <v>248305495</v>
      </c>
      <c r="N17" s="166">
        <f t="shared" si="3"/>
        <v>0</v>
      </c>
      <c r="O17" s="166">
        <f t="shared" si="0"/>
        <v>248305495</v>
      </c>
      <c r="P17" s="166">
        <f t="shared" si="1"/>
        <v>109825060</v>
      </c>
    </row>
    <row r="18" spans="1:16" x14ac:dyDescent="0.2">
      <c r="A18" s="515"/>
      <c r="B18" s="164"/>
      <c r="C18" s="165" t="s">
        <v>263</v>
      </c>
      <c r="D18" s="165" t="str">
        <f>'2.1.Kiadások (KÖT, ÖNV, Áll.i)'!D20</f>
        <v>K512</v>
      </c>
      <c r="E18" s="166">
        <v>33629305</v>
      </c>
      <c r="F18" s="166">
        <f t="shared" si="9"/>
        <v>75000</v>
      </c>
      <c r="G18" s="166">
        <v>33704305</v>
      </c>
      <c r="H18" s="166">
        <v>20401732</v>
      </c>
      <c r="I18" s="166">
        <v>0</v>
      </c>
      <c r="J18" s="166">
        <f>K18-I18</f>
        <v>0</v>
      </c>
      <c r="K18" s="166"/>
      <c r="L18" s="166"/>
      <c r="M18" s="166">
        <f t="shared" si="8"/>
        <v>33629305</v>
      </c>
      <c r="N18" s="166">
        <f t="shared" si="3"/>
        <v>75000</v>
      </c>
      <c r="O18" s="166">
        <f t="shared" si="0"/>
        <v>33704305</v>
      </c>
      <c r="P18" s="166">
        <f t="shared" si="1"/>
        <v>20401732</v>
      </c>
    </row>
    <row r="19" spans="1:16" ht="25.5" customHeight="1" x14ac:dyDescent="0.2">
      <c r="A19" s="484"/>
      <c r="B19" s="468" t="s">
        <v>264</v>
      </c>
      <c r="C19" s="468"/>
      <c r="D19" s="317" t="s">
        <v>421</v>
      </c>
      <c r="E19" s="190">
        <f>SUM(E17:E18)</f>
        <v>280992978</v>
      </c>
      <c r="F19" s="190">
        <f t="shared" ref="F19:H19" si="10">SUM(F17:F18)</f>
        <v>75000</v>
      </c>
      <c r="G19" s="190">
        <f t="shared" si="10"/>
        <v>281067978</v>
      </c>
      <c r="H19" s="190">
        <f t="shared" si="10"/>
        <v>130226792</v>
      </c>
      <c r="I19" s="190">
        <f t="shared" ref="I19:L19" si="11">SUM(I17:I18)</f>
        <v>941822</v>
      </c>
      <c r="J19" s="190">
        <f t="shared" si="11"/>
        <v>0</v>
      </c>
      <c r="K19" s="190">
        <f t="shared" si="11"/>
        <v>941822</v>
      </c>
      <c r="L19" s="190">
        <f t="shared" si="11"/>
        <v>0</v>
      </c>
      <c r="M19" s="173">
        <f t="shared" si="8"/>
        <v>281934800</v>
      </c>
      <c r="N19" s="173">
        <f t="shared" si="3"/>
        <v>75000</v>
      </c>
      <c r="O19" s="173">
        <f t="shared" si="0"/>
        <v>282009800</v>
      </c>
      <c r="P19" s="173">
        <f t="shared" si="1"/>
        <v>130226792</v>
      </c>
    </row>
    <row r="20" spans="1:16" s="161" customFormat="1" ht="25.5" customHeight="1" x14ac:dyDescent="0.2">
      <c r="A20" s="167" t="s">
        <v>48</v>
      </c>
      <c r="B20" s="512" t="s">
        <v>425</v>
      </c>
      <c r="C20" s="513"/>
      <c r="D20" s="321" t="str">
        <f>'2.1.Kiadások (KÖT, ÖNV, Áll.i)'!D22</f>
        <v>K513</v>
      </c>
      <c r="E20" s="199">
        <f>5540754-494000+241672</f>
        <v>5288426</v>
      </c>
      <c r="F20" s="199">
        <f t="shared" ref="F20:F25" si="12">G20-E20</f>
        <v>8518220</v>
      </c>
      <c r="G20" s="199">
        <v>13806646</v>
      </c>
      <c r="H20" s="199"/>
      <c r="I20" s="200">
        <v>0</v>
      </c>
      <c r="J20" s="200">
        <f>K20-I20</f>
        <v>0</v>
      </c>
      <c r="K20" s="200"/>
      <c r="L20" s="200"/>
      <c r="M20" s="173">
        <f t="shared" si="8"/>
        <v>5288426</v>
      </c>
      <c r="N20" s="173">
        <f t="shared" si="3"/>
        <v>8518220</v>
      </c>
      <c r="O20" s="173">
        <f t="shared" si="0"/>
        <v>13806646</v>
      </c>
      <c r="P20" s="173">
        <f t="shared" si="1"/>
        <v>0</v>
      </c>
    </row>
    <row r="21" spans="1:16" s="179" customFormat="1" ht="19.5" customHeight="1" x14ac:dyDescent="0.2">
      <c r="A21" s="198" t="s">
        <v>49</v>
      </c>
      <c r="B21" s="468" t="s">
        <v>265</v>
      </c>
      <c r="C21" s="468"/>
      <c r="D21" s="312" t="str">
        <f>'2.1.Kiadások (KÖT, ÖNV, Áll.i)'!D23</f>
        <v>K6</v>
      </c>
      <c r="E21" s="190">
        <f>569009062+250000000-14396417+1</f>
        <v>804612646</v>
      </c>
      <c r="F21" s="190">
        <f t="shared" si="12"/>
        <v>274610</v>
      </c>
      <c r="G21" s="190">
        <v>804887256</v>
      </c>
      <c r="H21" s="190">
        <v>8237747</v>
      </c>
      <c r="I21" s="190">
        <v>0</v>
      </c>
      <c r="J21" s="200">
        <f t="shared" ref="J21:J22" si="13">K21-I21</f>
        <v>0</v>
      </c>
      <c r="K21" s="190"/>
      <c r="L21" s="190"/>
      <c r="M21" s="173">
        <f t="shared" si="8"/>
        <v>804612646</v>
      </c>
      <c r="N21" s="173">
        <f t="shared" si="3"/>
        <v>274610</v>
      </c>
      <c r="O21" s="173">
        <f t="shared" si="0"/>
        <v>804887256</v>
      </c>
      <c r="P21" s="173">
        <f t="shared" si="1"/>
        <v>8237747</v>
      </c>
    </row>
    <row r="22" spans="1:16" s="179" customFormat="1" ht="18.75" customHeight="1" x14ac:dyDescent="0.2">
      <c r="A22" s="198" t="s">
        <v>50</v>
      </c>
      <c r="B22" s="468" t="s">
        <v>151</v>
      </c>
      <c r="C22" s="468"/>
      <c r="D22" s="312" t="str">
        <f>'2.1.Kiadások (KÖT, ÖNV, Áll.i)'!D24</f>
        <v>K7</v>
      </c>
      <c r="E22" s="190">
        <f>123033605-1</f>
        <v>123033604</v>
      </c>
      <c r="F22" s="190">
        <f t="shared" si="12"/>
        <v>0</v>
      </c>
      <c r="G22" s="190">
        <v>123033604</v>
      </c>
      <c r="H22" s="190"/>
      <c r="I22" s="190">
        <v>0</v>
      </c>
      <c r="J22" s="200">
        <f t="shared" si="13"/>
        <v>0</v>
      </c>
      <c r="K22" s="190"/>
      <c r="L22" s="190"/>
      <c r="M22" s="173">
        <f t="shared" si="8"/>
        <v>123033604</v>
      </c>
      <c r="N22" s="173">
        <f t="shared" si="3"/>
        <v>0</v>
      </c>
      <c r="O22" s="173">
        <f t="shared" si="0"/>
        <v>123033604</v>
      </c>
      <c r="P22" s="173">
        <f t="shared" si="1"/>
        <v>0</v>
      </c>
    </row>
    <row r="23" spans="1:16" ht="25.5" x14ac:dyDescent="0.2">
      <c r="A23" s="483" t="s">
        <v>51</v>
      </c>
      <c r="B23" s="164"/>
      <c r="C23" s="165" t="s">
        <v>266</v>
      </c>
      <c r="D23" s="165" t="str">
        <f>'2.1.Kiadások (KÖT, ÖNV, Áll.i)'!D25</f>
        <v>K84</v>
      </c>
      <c r="E23" s="166">
        <v>0</v>
      </c>
      <c r="F23" s="166">
        <f t="shared" si="12"/>
        <v>1214532</v>
      </c>
      <c r="G23" s="166">
        <v>1214532</v>
      </c>
      <c r="H23" s="166">
        <v>1214532</v>
      </c>
      <c r="I23" s="166">
        <v>0</v>
      </c>
      <c r="J23" s="166">
        <f>K23-I23</f>
        <v>0</v>
      </c>
      <c r="K23" s="166"/>
      <c r="L23" s="166"/>
      <c r="M23" s="166">
        <f t="shared" si="8"/>
        <v>0</v>
      </c>
      <c r="N23" s="166">
        <f t="shared" si="3"/>
        <v>1214532</v>
      </c>
      <c r="O23" s="166">
        <f t="shared" si="0"/>
        <v>1214532</v>
      </c>
      <c r="P23" s="166">
        <f t="shared" si="1"/>
        <v>1214532</v>
      </c>
    </row>
    <row r="24" spans="1:16" ht="25.5" x14ac:dyDescent="0.2">
      <c r="A24" s="518"/>
      <c r="B24" s="164"/>
      <c r="C24" s="165" t="s">
        <v>267</v>
      </c>
      <c r="D24" s="165" t="str">
        <f>'2.1.Kiadások (KÖT, ÖNV, Áll.i)'!D26</f>
        <v>K86</v>
      </c>
      <c r="E24" s="166">
        <v>2000000</v>
      </c>
      <c r="F24" s="166">
        <f t="shared" si="12"/>
        <v>0</v>
      </c>
      <c r="G24" s="166">
        <v>2000000</v>
      </c>
      <c r="H24" s="166"/>
      <c r="I24" s="166">
        <v>0</v>
      </c>
      <c r="J24" s="166">
        <f t="shared" ref="J24:J25" si="14">K24-I24</f>
        <v>0</v>
      </c>
      <c r="K24" s="166"/>
      <c r="L24" s="166"/>
      <c r="M24" s="166">
        <f t="shared" si="8"/>
        <v>2000000</v>
      </c>
      <c r="N24" s="166">
        <f t="shared" si="3"/>
        <v>0</v>
      </c>
      <c r="O24" s="166">
        <f t="shared" si="0"/>
        <v>2000000</v>
      </c>
      <c r="P24" s="166">
        <f t="shared" si="1"/>
        <v>0</v>
      </c>
    </row>
    <row r="25" spans="1:16" x14ac:dyDescent="0.2">
      <c r="A25" s="518"/>
      <c r="B25" s="164"/>
      <c r="C25" s="165" t="s">
        <v>268</v>
      </c>
      <c r="D25" s="165" t="str">
        <f>'2.1.Kiadások (KÖT, ÖNV, Áll.i)'!D27</f>
        <v>K89</v>
      </c>
      <c r="E25" s="166">
        <v>0</v>
      </c>
      <c r="F25" s="166">
        <f t="shared" si="12"/>
        <v>0</v>
      </c>
      <c r="G25" s="166"/>
      <c r="H25" s="166"/>
      <c r="I25" s="166">
        <v>0</v>
      </c>
      <c r="J25" s="166">
        <f t="shared" si="14"/>
        <v>0</v>
      </c>
      <c r="K25" s="166"/>
      <c r="L25" s="166"/>
      <c r="M25" s="166">
        <f t="shared" si="8"/>
        <v>0</v>
      </c>
      <c r="N25" s="166">
        <f t="shared" si="3"/>
        <v>0</v>
      </c>
      <c r="O25" s="166">
        <f t="shared" si="0"/>
        <v>0</v>
      </c>
      <c r="P25" s="166">
        <f t="shared" si="1"/>
        <v>0</v>
      </c>
    </row>
    <row r="26" spans="1:16" s="163" customFormat="1" ht="25.5" customHeight="1" x14ac:dyDescent="0.2">
      <c r="A26" s="519"/>
      <c r="B26" s="468" t="s">
        <v>269</v>
      </c>
      <c r="C26" s="468"/>
      <c r="D26" s="312" t="str">
        <f>'2.1.Kiadások (KÖT, ÖNV, Áll.i)'!D28</f>
        <v>K8</v>
      </c>
      <c r="E26" s="190">
        <f t="shared" ref="E26:I26" si="15">SUM(E23:E25)</f>
        <v>2000000</v>
      </c>
      <c r="F26" s="190">
        <f t="shared" si="15"/>
        <v>1214532</v>
      </c>
      <c r="G26" s="190">
        <f t="shared" si="15"/>
        <v>3214532</v>
      </c>
      <c r="H26" s="190">
        <f t="shared" si="15"/>
        <v>1214532</v>
      </c>
      <c r="I26" s="190">
        <f t="shared" si="15"/>
        <v>0</v>
      </c>
      <c r="J26" s="190">
        <f t="shared" ref="J26" si="16">SUM(J24:J25)</f>
        <v>0</v>
      </c>
      <c r="K26" s="190"/>
      <c r="L26" s="190"/>
      <c r="M26" s="173">
        <f t="shared" si="8"/>
        <v>2000000</v>
      </c>
      <c r="N26" s="173">
        <f t="shared" si="3"/>
        <v>1214532</v>
      </c>
      <c r="O26" s="173">
        <f t="shared" si="0"/>
        <v>3214532</v>
      </c>
      <c r="P26" s="173">
        <f t="shared" si="1"/>
        <v>1214532</v>
      </c>
    </row>
    <row r="27" spans="1:16" s="163" customFormat="1" ht="25.5" customHeight="1" x14ac:dyDescent="0.2">
      <c r="A27" s="481" t="s">
        <v>270</v>
      </c>
      <c r="B27" s="481"/>
      <c r="C27" s="481"/>
      <c r="D27" s="311" t="str">
        <f>'2.1.Kiadások (KÖT, ÖNV, Áll.i)'!D29</f>
        <v>K1-K8</v>
      </c>
      <c r="E27" s="192">
        <f t="shared" ref="E27:P27" si="17">E7+E8+E14+E15+E16+E19+E21+E22+E26+E20</f>
        <v>1388459423</v>
      </c>
      <c r="F27" s="192">
        <f t="shared" si="17"/>
        <v>17260974</v>
      </c>
      <c r="G27" s="192">
        <f t="shared" si="17"/>
        <v>1405720397</v>
      </c>
      <c r="H27" s="192">
        <f t="shared" si="17"/>
        <v>204446651</v>
      </c>
      <c r="I27" s="192">
        <f t="shared" si="17"/>
        <v>108468736</v>
      </c>
      <c r="J27" s="192">
        <f t="shared" si="17"/>
        <v>407000</v>
      </c>
      <c r="K27" s="192">
        <f t="shared" si="17"/>
        <v>108875736</v>
      </c>
      <c r="L27" s="192">
        <f t="shared" si="17"/>
        <v>52582008</v>
      </c>
      <c r="M27" s="174">
        <f t="shared" si="17"/>
        <v>1496928159</v>
      </c>
      <c r="N27" s="174">
        <f t="shared" si="17"/>
        <v>17667974</v>
      </c>
      <c r="O27" s="174">
        <f t="shared" si="17"/>
        <v>1514596133</v>
      </c>
      <c r="P27" s="174">
        <f t="shared" si="17"/>
        <v>257028659</v>
      </c>
    </row>
    <row r="28" spans="1:16" x14ac:dyDescent="0.2">
      <c r="A28" s="483" t="s">
        <v>23</v>
      </c>
      <c r="B28" s="164"/>
      <c r="C28" s="165" t="s">
        <v>273</v>
      </c>
      <c r="D28" s="165" t="str">
        <f>'2.1.Kiadások (KÖT, ÖNV, Áll.i)'!D30</f>
        <v>K914</v>
      </c>
      <c r="E28" s="166">
        <v>11319727</v>
      </c>
      <c r="F28" s="166">
        <f>G28-E28</f>
        <v>0</v>
      </c>
      <c r="G28" s="166">
        <v>11319727</v>
      </c>
      <c r="H28" s="166">
        <v>11319727</v>
      </c>
      <c r="I28" s="166">
        <v>0</v>
      </c>
      <c r="J28" s="166">
        <f>K28-I28</f>
        <v>0</v>
      </c>
      <c r="K28" s="166"/>
      <c r="L28" s="166"/>
      <c r="M28" s="166">
        <f t="shared" si="8"/>
        <v>11319727</v>
      </c>
      <c r="N28" s="166">
        <f t="shared" si="3"/>
        <v>0</v>
      </c>
      <c r="O28" s="166">
        <f t="shared" si="0"/>
        <v>11319727</v>
      </c>
      <c r="P28" s="166">
        <f t="shared" si="0"/>
        <v>11319727</v>
      </c>
    </row>
    <row r="29" spans="1:16" x14ac:dyDescent="0.2">
      <c r="A29" s="484"/>
      <c r="B29" s="164"/>
      <c r="C29" s="165" t="s">
        <v>274</v>
      </c>
      <c r="D29" s="165" t="str">
        <f>'2.1.Kiadások (KÖT, ÖNV, Áll.i)'!D31</f>
        <v>K915</v>
      </c>
      <c r="E29" s="166">
        <v>105524914</v>
      </c>
      <c r="F29" s="166">
        <f>G29-E29</f>
        <v>0</v>
      </c>
      <c r="G29" s="166">
        <v>105524914</v>
      </c>
      <c r="H29" s="166">
        <v>52673153</v>
      </c>
      <c r="I29" s="166">
        <v>0</v>
      </c>
      <c r="J29" s="166">
        <f>K29-I29</f>
        <v>0</v>
      </c>
      <c r="K29" s="166"/>
      <c r="L29" s="166"/>
      <c r="M29" s="166">
        <f t="shared" si="8"/>
        <v>105524914</v>
      </c>
      <c r="N29" s="166">
        <f t="shared" si="3"/>
        <v>0</v>
      </c>
      <c r="O29" s="166">
        <f t="shared" si="0"/>
        <v>105524914</v>
      </c>
      <c r="P29" s="166">
        <f t="shared" si="0"/>
        <v>52673153</v>
      </c>
    </row>
    <row r="30" spans="1:16" s="163" customFormat="1" ht="22.5" customHeight="1" x14ac:dyDescent="0.2">
      <c r="A30" s="520" t="s">
        <v>271</v>
      </c>
      <c r="B30" s="521"/>
      <c r="C30" s="522"/>
      <c r="D30" s="320" t="str">
        <f>'2.1.Kiadások (KÖT, ÖNV, Áll.i)'!D32</f>
        <v>K9</v>
      </c>
      <c r="E30" s="192">
        <f t="shared" ref="E30:L30" si="18">SUM(E28:E29)</f>
        <v>116844641</v>
      </c>
      <c r="F30" s="192">
        <f t="shared" si="18"/>
        <v>0</v>
      </c>
      <c r="G30" s="192">
        <f t="shared" si="18"/>
        <v>116844641</v>
      </c>
      <c r="H30" s="192">
        <f t="shared" si="18"/>
        <v>63992880</v>
      </c>
      <c r="I30" s="192">
        <f t="shared" si="18"/>
        <v>0</v>
      </c>
      <c r="J30" s="192">
        <f t="shared" si="18"/>
        <v>0</v>
      </c>
      <c r="K30" s="192">
        <f t="shared" si="18"/>
        <v>0</v>
      </c>
      <c r="L30" s="192">
        <f t="shared" si="18"/>
        <v>0</v>
      </c>
      <c r="M30" s="174">
        <f t="shared" si="8"/>
        <v>116844641</v>
      </c>
      <c r="N30" s="174">
        <f t="shared" ref="N30:O30" si="19">F30+J30</f>
        <v>0</v>
      </c>
      <c r="O30" s="174">
        <f t="shared" si="19"/>
        <v>116844641</v>
      </c>
      <c r="P30" s="174">
        <f>H30+L30</f>
        <v>63992880</v>
      </c>
    </row>
    <row r="31" spans="1:16" s="159" customFormat="1" ht="22.5" customHeight="1" x14ac:dyDescent="0.2">
      <c r="A31" s="486" t="s">
        <v>272</v>
      </c>
      <c r="B31" s="486"/>
      <c r="C31" s="486"/>
      <c r="D31" s="319"/>
      <c r="E31" s="175">
        <f t="shared" ref="E31:P31" si="20">E27+E30</f>
        <v>1505304064</v>
      </c>
      <c r="F31" s="175">
        <f t="shared" si="20"/>
        <v>17260974</v>
      </c>
      <c r="G31" s="175">
        <f t="shared" si="20"/>
        <v>1522565038</v>
      </c>
      <c r="H31" s="175">
        <f t="shared" si="20"/>
        <v>268439531</v>
      </c>
      <c r="I31" s="175">
        <f t="shared" si="20"/>
        <v>108468736</v>
      </c>
      <c r="J31" s="175">
        <f t="shared" si="20"/>
        <v>407000</v>
      </c>
      <c r="K31" s="175">
        <f t="shared" si="20"/>
        <v>108875736</v>
      </c>
      <c r="L31" s="175">
        <f t="shared" si="20"/>
        <v>52582008</v>
      </c>
      <c r="M31" s="175">
        <f t="shared" si="20"/>
        <v>1613772800</v>
      </c>
      <c r="N31" s="175">
        <f t="shared" si="20"/>
        <v>17667974</v>
      </c>
      <c r="O31" s="175">
        <f t="shared" si="20"/>
        <v>1631440774</v>
      </c>
      <c r="P31" s="175">
        <f t="shared" si="20"/>
        <v>321021539</v>
      </c>
    </row>
  </sheetData>
  <mergeCells count="23">
    <mergeCell ref="A31:C31"/>
    <mergeCell ref="B26:C26"/>
    <mergeCell ref="B21:C21"/>
    <mergeCell ref="B22:C22"/>
    <mergeCell ref="A23:A26"/>
    <mergeCell ref="A28:A29"/>
    <mergeCell ref="A30:C30"/>
    <mergeCell ref="A27:C27"/>
    <mergeCell ref="A1:M1"/>
    <mergeCell ref="A2:I2"/>
    <mergeCell ref="B20:C20"/>
    <mergeCell ref="A3:C4"/>
    <mergeCell ref="B7:C7"/>
    <mergeCell ref="B8:C8"/>
    <mergeCell ref="A5:A7"/>
    <mergeCell ref="B19:C19"/>
    <mergeCell ref="A17:A19"/>
    <mergeCell ref="B14:C14"/>
    <mergeCell ref="A9:A14"/>
    <mergeCell ref="B15:C15"/>
    <mergeCell ref="B16:C16"/>
    <mergeCell ref="D3:D4"/>
    <mergeCell ref="E3:P3"/>
  </mergeCells>
  <phoneticPr fontId="0" type="noConversion"/>
  <printOptions horizontalCentered="1"/>
  <pageMargins left="0.7" right="0.7" top="0.75" bottom="0.75" header="0.3" footer="0.3"/>
  <pageSetup paperSize="9" scale="79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F431-DE55-4F33-9B6C-CF11EECC6960}">
  <sheetPr>
    <pageSetUpPr fitToPage="1"/>
  </sheetPr>
  <dimension ref="A1:T33"/>
  <sheetViews>
    <sheetView zoomScaleNormal="100" workbookViewId="0">
      <selection activeCell="I33" sqref="I33"/>
    </sheetView>
  </sheetViews>
  <sheetFormatPr defaultRowHeight="12.75" x14ac:dyDescent="0.2"/>
  <cols>
    <col min="1" max="1" width="3.5703125" style="252" bestFit="1" customWidth="1"/>
    <col min="2" max="2" width="2.85546875" style="252" customWidth="1"/>
    <col min="3" max="3" width="51.7109375" style="252" customWidth="1"/>
    <col min="4" max="4" width="7.5703125" style="252" customWidth="1"/>
    <col min="5" max="5" width="12.7109375" style="252" bestFit="1" customWidth="1"/>
    <col min="6" max="6" width="12.7109375" style="252" customWidth="1"/>
    <col min="7" max="8" width="10.85546875" style="252" customWidth="1"/>
    <col min="9" max="9" width="12.7109375" style="252" bestFit="1" customWidth="1"/>
    <col min="10" max="10" width="10.140625" style="252" bestFit="1" customWidth="1"/>
    <col min="11" max="11" width="10.140625" style="252" customWidth="1"/>
    <col min="12" max="13" width="10" style="252" customWidth="1"/>
    <col min="14" max="14" width="10.140625" style="252" bestFit="1" customWidth="1"/>
    <col min="15" max="16" width="7" style="252" customWidth="1"/>
    <col min="17" max="18" width="9.42578125" style="252" customWidth="1"/>
    <col min="19" max="19" width="9.42578125" style="252" bestFit="1" customWidth="1"/>
    <col min="20" max="20" width="15" style="252" customWidth="1"/>
    <col min="21" max="16384" width="9.140625" style="252"/>
  </cols>
  <sheetData>
    <row r="1" spans="1:20" ht="21.75" customHeight="1" x14ac:dyDescent="0.2">
      <c r="A1" s="465" t="s">
        <v>429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</row>
    <row r="2" spans="1:20" ht="21" customHeight="1" x14ac:dyDescent="0.2">
      <c r="A2" s="466" t="s">
        <v>102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296" t="s">
        <v>380</v>
      </c>
    </row>
    <row r="3" spans="1:20" ht="28.5" customHeight="1" x14ac:dyDescent="0.2">
      <c r="A3" s="492" t="s">
        <v>36</v>
      </c>
      <c r="B3" s="493"/>
      <c r="C3" s="494"/>
      <c r="D3" s="501" t="s">
        <v>309</v>
      </c>
      <c r="E3" s="504" t="s">
        <v>369</v>
      </c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</row>
    <row r="4" spans="1:20" ht="20.25" customHeight="1" x14ac:dyDescent="0.2">
      <c r="A4" s="495"/>
      <c r="B4" s="496"/>
      <c r="C4" s="497"/>
      <c r="D4" s="502"/>
      <c r="E4" s="492" t="s">
        <v>310</v>
      </c>
      <c r="F4" s="493"/>
      <c r="G4" s="493"/>
      <c r="H4" s="494"/>
      <c r="I4" s="501" t="s">
        <v>200</v>
      </c>
      <c r="J4" s="492" t="s">
        <v>311</v>
      </c>
      <c r="K4" s="493"/>
      <c r="L4" s="493"/>
      <c r="M4" s="494"/>
      <c r="N4" s="501" t="s">
        <v>200</v>
      </c>
      <c r="O4" s="509" t="s">
        <v>312</v>
      </c>
      <c r="P4" s="510"/>
      <c r="Q4" s="510"/>
      <c r="R4" s="511"/>
      <c r="S4" s="501" t="s">
        <v>200</v>
      </c>
      <c r="T4" s="507" t="s">
        <v>99</v>
      </c>
    </row>
    <row r="5" spans="1:20" ht="21.75" customHeight="1" x14ac:dyDescent="0.2">
      <c r="A5" s="498"/>
      <c r="B5" s="499"/>
      <c r="C5" s="500"/>
      <c r="D5" s="503"/>
      <c r="E5" s="253" t="s">
        <v>201</v>
      </c>
      <c r="F5" s="253" t="s">
        <v>442</v>
      </c>
      <c r="G5" s="253" t="s">
        <v>278</v>
      </c>
      <c r="H5" s="253" t="s">
        <v>442</v>
      </c>
      <c r="I5" s="503"/>
      <c r="J5" s="253" t="s">
        <v>201</v>
      </c>
      <c r="K5" s="253" t="s">
        <v>442</v>
      </c>
      <c r="L5" s="253" t="s">
        <v>278</v>
      </c>
      <c r="M5" s="253" t="s">
        <v>442</v>
      </c>
      <c r="N5" s="503"/>
      <c r="O5" s="253" t="s">
        <v>201</v>
      </c>
      <c r="P5" s="253" t="s">
        <v>442</v>
      </c>
      <c r="Q5" s="253" t="s">
        <v>278</v>
      </c>
      <c r="R5" s="253" t="s">
        <v>442</v>
      </c>
      <c r="S5" s="503"/>
      <c r="T5" s="508"/>
    </row>
    <row r="6" spans="1:20" ht="16.5" customHeight="1" x14ac:dyDescent="0.2">
      <c r="A6" s="487" t="s">
        <v>37</v>
      </c>
      <c r="B6" s="164"/>
      <c r="C6" s="165" t="s">
        <v>252</v>
      </c>
      <c r="D6" s="165" t="s">
        <v>344</v>
      </c>
      <c r="E6" s="166">
        <f>'2. Kiadások'!E5</f>
        <v>32734051</v>
      </c>
      <c r="F6" s="166">
        <v>1808201</v>
      </c>
      <c r="G6" s="166">
        <f>'2. Kiadások'!I5</f>
        <v>81710304</v>
      </c>
      <c r="H6" s="166">
        <v>299601</v>
      </c>
      <c r="I6" s="166">
        <f>SUM(E6:H6)</f>
        <v>116552157</v>
      </c>
      <c r="J6" s="255">
        <v>0</v>
      </c>
      <c r="K6" s="255"/>
      <c r="L6" s="255">
        <v>0</v>
      </c>
      <c r="M6" s="255"/>
      <c r="N6" s="166">
        <f>SUM(J6:L6)</f>
        <v>0</v>
      </c>
      <c r="O6" s="255">
        <v>0</v>
      </c>
      <c r="P6" s="255"/>
      <c r="Q6" s="255">
        <v>0</v>
      </c>
      <c r="R6" s="255"/>
      <c r="S6" s="166">
        <f>SUM(O6:Q6)</f>
        <v>0</v>
      </c>
      <c r="T6" s="166">
        <f>I6+N6+S6</f>
        <v>116552157</v>
      </c>
    </row>
    <row r="7" spans="1:20" ht="16.5" customHeight="1" x14ac:dyDescent="0.2">
      <c r="A7" s="487"/>
      <c r="B7" s="164"/>
      <c r="C7" s="165" t="s">
        <v>253</v>
      </c>
      <c r="D7" s="165" t="s">
        <v>345</v>
      </c>
      <c r="E7" s="166">
        <f>'2. Kiadások'!E6</f>
        <v>18853081</v>
      </c>
      <c r="F7" s="166">
        <v>-63830</v>
      </c>
      <c r="G7" s="166">
        <f>'2. Kiadások'!I6</f>
        <v>1100000</v>
      </c>
      <c r="H7" s="166">
        <v>0</v>
      </c>
      <c r="I7" s="166">
        <f>SUM(E7:H7)</f>
        <v>19889251</v>
      </c>
      <c r="J7" s="255">
        <v>0</v>
      </c>
      <c r="K7" s="255"/>
      <c r="L7" s="255">
        <v>0</v>
      </c>
      <c r="M7" s="255"/>
      <c r="N7" s="166">
        <f>SUM(J7:L7)</f>
        <v>0</v>
      </c>
      <c r="O7" s="255">
        <v>0</v>
      </c>
      <c r="P7" s="255"/>
      <c r="Q7" s="255">
        <v>0</v>
      </c>
      <c r="R7" s="255"/>
      <c r="S7" s="166">
        <f>SUM(O7:Q7)</f>
        <v>0</v>
      </c>
      <c r="T7" s="166">
        <f>I7+N7+S7</f>
        <v>19889251</v>
      </c>
    </row>
    <row r="8" spans="1:20" s="267" customFormat="1" ht="21.75" customHeight="1" x14ac:dyDescent="0.2">
      <c r="A8" s="487"/>
      <c r="B8" s="491" t="s">
        <v>251</v>
      </c>
      <c r="C8" s="491"/>
      <c r="D8" s="259" t="s">
        <v>346</v>
      </c>
      <c r="E8" s="190">
        <f>SUM(E6:E7)</f>
        <v>51587132</v>
      </c>
      <c r="F8" s="190">
        <f>SUM(F6:F7)</f>
        <v>1744371</v>
      </c>
      <c r="G8" s="190">
        <f>SUM(G6:G7)</f>
        <v>82810304</v>
      </c>
      <c r="H8" s="190">
        <f>SUM(H6:H7)</f>
        <v>299601</v>
      </c>
      <c r="I8" s="190">
        <f>SUM(I6:I7)</f>
        <v>136441408</v>
      </c>
      <c r="J8" s="190">
        <f t="shared" ref="J8:T8" si="0">SUM(J6:J7)</f>
        <v>0</v>
      </c>
      <c r="K8" s="190">
        <f t="shared" si="0"/>
        <v>0</v>
      </c>
      <c r="L8" s="190">
        <f t="shared" si="0"/>
        <v>0</v>
      </c>
      <c r="M8" s="190"/>
      <c r="N8" s="190">
        <f>SUM(N6:N7)</f>
        <v>0</v>
      </c>
      <c r="O8" s="190">
        <f t="shared" si="0"/>
        <v>0</v>
      </c>
      <c r="P8" s="190"/>
      <c r="Q8" s="190">
        <f t="shared" si="0"/>
        <v>0</v>
      </c>
      <c r="R8" s="190"/>
      <c r="S8" s="190">
        <f>SUM(S6:S7)</f>
        <v>0</v>
      </c>
      <c r="T8" s="190">
        <f t="shared" si="0"/>
        <v>136441408</v>
      </c>
    </row>
    <row r="9" spans="1:20" s="267" customFormat="1" ht="22.5" customHeight="1" x14ac:dyDescent="0.2">
      <c r="A9" s="268" t="s">
        <v>38</v>
      </c>
      <c r="B9" s="491" t="s">
        <v>254</v>
      </c>
      <c r="C9" s="491"/>
      <c r="D9" s="259" t="s">
        <v>347</v>
      </c>
      <c r="E9" s="190">
        <f>'2. Kiadások'!E8</f>
        <v>8843520</v>
      </c>
      <c r="F9" s="190">
        <v>-38571</v>
      </c>
      <c r="G9" s="190">
        <f>'2. Kiadások'!I8</f>
        <v>14696450</v>
      </c>
      <c r="H9" s="190">
        <v>-229601</v>
      </c>
      <c r="I9" s="190">
        <f t="shared" ref="I9" si="1">SUM(E9:G9)</f>
        <v>23501399</v>
      </c>
      <c r="J9" s="190">
        <v>0</v>
      </c>
      <c r="K9" s="190"/>
      <c r="L9" s="190">
        <v>0</v>
      </c>
      <c r="M9" s="190"/>
      <c r="N9" s="190">
        <f t="shared" ref="N9:N11" si="2">SUM(J9:L9)</f>
        <v>0</v>
      </c>
      <c r="O9" s="190">
        <v>0</v>
      </c>
      <c r="P9" s="190"/>
      <c r="Q9" s="190">
        <v>0</v>
      </c>
      <c r="R9" s="190"/>
      <c r="S9" s="190">
        <f t="shared" ref="S9:S15" si="3">SUM(O9:Q9)</f>
        <v>0</v>
      </c>
      <c r="T9" s="190">
        <f>I9+N9+S9</f>
        <v>23501399</v>
      </c>
    </row>
    <row r="10" spans="1:20" ht="13.5" customHeight="1" x14ac:dyDescent="0.2">
      <c r="A10" s="487" t="s">
        <v>39</v>
      </c>
      <c r="B10" s="164"/>
      <c r="C10" s="165" t="s">
        <v>255</v>
      </c>
      <c r="D10" s="165" t="s">
        <v>348</v>
      </c>
      <c r="E10" s="166">
        <f>'2. Kiadások'!E9</f>
        <v>5717990</v>
      </c>
      <c r="F10" s="166"/>
      <c r="G10" s="166">
        <f>'2. Kiadások'!I9</f>
        <v>2307880</v>
      </c>
      <c r="H10" s="166"/>
      <c r="I10" s="166">
        <f>SUM(E10:H10)</f>
        <v>8025870</v>
      </c>
      <c r="J10" s="255">
        <v>0</v>
      </c>
      <c r="K10" s="255"/>
      <c r="L10" s="255">
        <v>0</v>
      </c>
      <c r="M10" s="255"/>
      <c r="N10" s="166">
        <f t="shared" si="2"/>
        <v>0</v>
      </c>
      <c r="O10" s="255">
        <v>0</v>
      </c>
      <c r="P10" s="255"/>
      <c r="Q10" s="255">
        <v>0</v>
      </c>
      <c r="R10" s="255"/>
      <c r="S10" s="166">
        <f t="shared" si="3"/>
        <v>0</v>
      </c>
      <c r="T10" s="166">
        <f t="shared" ref="T10:T15" si="4">I10+N10+S10</f>
        <v>8025870</v>
      </c>
    </row>
    <row r="11" spans="1:20" ht="13.5" customHeight="1" x14ac:dyDescent="0.2">
      <c r="A11" s="487"/>
      <c r="B11" s="164"/>
      <c r="C11" s="165" t="s">
        <v>256</v>
      </c>
      <c r="D11" s="165" t="s">
        <v>349</v>
      </c>
      <c r="E11" s="166">
        <f>'2. Kiadások'!E10</f>
        <v>2709418</v>
      </c>
      <c r="F11" s="166"/>
      <c r="G11" s="166">
        <f>'2. Kiadások'!I10</f>
        <v>282840</v>
      </c>
      <c r="H11" s="166"/>
      <c r="I11" s="166">
        <f t="shared" ref="I11:I15" si="5">SUM(E11:H11)</f>
        <v>2992258</v>
      </c>
      <c r="J11" s="255">
        <v>0</v>
      </c>
      <c r="K11" s="255"/>
      <c r="L11" s="255">
        <v>0</v>
      </c>
      <c r="M11" s="255"/>
      <c r="N11" s="166">
        <f t="shared" si="2"/>
        <v>0</v>
      </c>
      <c r="O11" s="255">
        <v>0</v>
      </c>
      <c r="P11" s="255"/>
      <c r="Q11" s="255">
        <v>0</v>
      </c>
      <c r="R11" s="255"/>
      <c r="S11" s="166">
        <f t="shared" si="3"/>
        <v>0</v>
      </c>
      <c r="T11" s="166">
        <f t="shared" si="4"/>
        <v>2992258</v>
      </c>
    </row>
    <row r="12" spans="1:20" ht="13.5" customHeight="1" x14ac:dyDescent="0.2">
      <c r="A12" s="487"/>
      <c r="B12" s="164"/>
      <c r="C12" s="165" t="s">
        <v>257</v>
      </c>
      <c r="D12" s="165" t="s">
        <v>350</v>
      </c>
      <c r="E12" s="448">
        <f>'2. Kiadások'!E11-114076</f>
        <v>58620177</v>
      </c>
      <c r="F12" s="166">
        <v>0</v>
      </c>
      <c r="G12" s="166">
        <f>'2. Kiadások'!I11-1700000</f>
        <v>3228100</v>
      </c>
      <c r="H12" s="166"/>
      <c r="I12" s="166">
        <f t="shared" si="5"/>
        <v>61848277</v>
      </c>
      <c r="J12" s="255">
        <v>0</v>
      </c>
      <c r="K12" s="255"/>
      <c r="L12" s="166">
        <v>1700000</v>
      </c>
      <c r="M12" s="166">
        <v>407000</v>
      </c>
      <c r="N12" s="166">
        <f>SUM(J12:M12)</f>
        <v>2107000</v>
      </c>
      <c r="O12" s="255">
        <v>0</v>
      </c>
      <c r="P12" s="255"/>
      <c r="Q12" s="255">
        <v>0</v>
      </c>
      <c r="R12" s="255"/>
      <c r="S12" s="166">
        <f t="shared" si="3"/>
        <v>0</v>
      </c>
      <c r="T12" s="166">
        <f t="shared" si="4"/>
        <v>63955277</v>
      </c>
    </row>
    <row r="13" spans="1:20" ht="13.5" customHeight="1" x14ac:dyDescent="0.2">
      <c r="A13" s="487"/>
      <c r="B13" s="164"/>
      <c r="C13" s="165" t="s">
        <v>351</v>
      </c>
      <c r="D13" s="165" t="s">
        <v>352</v>
      </c>
      <c r="E13" s="166">
        <v>0</v>
      </c>
      <c r="F13" s="166"/>
      <c r="G13" s="166">
        <v>0</v>
      </c>
      <c r="H13" s="166"/>
      <c r="I13" s="166">
        <f t="shared" si="5"/>
        <v>0</v>
      </c>
      <c r="J13" s="448">
        <v>114076</v>
      </c>
      <c r="K13" s="166">
        <v>1121993</v>
      </c>
      <c r="L13" s="255">
        <v>0</v>
      </c>
      <c r="M13" s="255"/>
      <c r="N13" s="166">
        <f t="shared" ref="N13:N15" si="6">SUM(J13:M13)</f>
        <v>1236069</v>
      </c>
      <c r="O13" s="255">
        <v>0</v>
      </c>
      <c r="P13" s="255"/>
      <c r="Q13" s="255">
        <v>0</v>
      </c>
      <c r="R13" s="255"/>
      <c r="S13" s="166">
        <f t="shared" si="3"/>
        <v>0</v>
      </c>
      <c r="T13" s="166">
        <f t="shared" si="4"/>
        <v>1236069</v>
      </c>
    </row>
    <row r="14" spans="1:20" ht="13.5" customHeight="1" x14ac:dyDescent="0.2">
      <c r="A14" s="487"/>
      <c r="B14" s="164"/>
      <c r="C14" s="165" t="s">
        <v>258</v>
      </c>
      <c r="D14" s="165" t="s">
        <v>353</v>
      </c>
      <c r="E14" s="166">
        <f>'2. Kiadások'!E12</f>
        <v>507000</v>
      </c>
      <c r="F14" s="166"/>
      <c r="G14" s="166">
        <f>'2. Kiadások'!I12</f>
        <v>1330000</v>
      </c>
      <c r="H14" s="166"/>
      <c r="I14" s="166">
        <f t="shared" si="5"/>
        <v>1837000</v>
      </c>
      <c r="J14" s="255">
        <v>0</v>
      </c>
      <c r="K14" s="255"/>
      <c r="L14" s="255">
        <v>0</v>
      </c>
      <c r="M14" s="255"/>
      <c r="N14" s="166">
        <f t="shared" si="6"/>
        <v>0</v>
      </c>
      <c r="O14" s="255">
        <v>0</v>
      </c>
      <c r="P14" s="255"/>
      <c r="Q14" s="255">
        <v>0</v>
      </c>
      <c r="R14" s="255"/>
      <c r="S14" s="166">
        <f t="shared" si="3"/>
        <v>0</v>
      </c>
      <c r="T14" s="166">
        <f t="shared" si="4"/>
        <v>1837000</v>
      </c>
    </row>
    <row r="15" spans="1:20" ht="13.5" customHeight="1" x14ac:dyDescent="0.2">
      <c r="A15" s="487"/>
      <c r="B15" s="164"/>
      <c r="C15" s="165" t="s">
        <v>259</v>
      </c>
      <c r="D15" s="165" t="s">
        <v>354</v>
      </c>
      <c r="E15" s="166">
        <f>'2. Kiadások'!E13</f>
        <v>37288356</v>
      </c>
      <c r="F15" s="166"/>
      <c r="G15" s="166">
        <f>'2. Kiadások'!I13</f>
        <v>1171340</v>
      </c>
      <c r="H15" s="166"/>
      <c r="I15" s="166">
        <f t="shared" si="5"/>
        <v>38459696</v>
      </c>
      <c r="J15" s="255">
        <v>0</v>
      </c>
      <c r="K15" s="255"/>
      <c r="L15" s="255">
        <v>0</v>
      </c>
      <c r="M15" s="255"/>
      <c r="N15" s="166">
        <f t="shared" si="6"/>
        <v>0</v>
      </c>
      <c r="O15" s="255">
        <v>0</v>
      </c>
      <c r="P15" s="255"/>
      <c r="Q15" s="255">
        <v>0</v>
      </c>
      <c r="R15" s="255"/>
      <c r="S15" s="166">
        <f t="shared" si="3"/>
        <v>0</v>
      </c>
      <c r="T15" s="166">
        <f t="shared" si="4"/>
        <v>38459696</v>
      </c>
    </row>
    <row r="16" spans="1:20" s="267" customFormat="1" ht="19.5" customHeight="1" x14ac:dyDescent="0.2">
      <c r="A16" s="487"/>
      <c r="B16" s="491" t="s">
        <v>260</v>
      </c>
      <c r="C16" s="491"/>
      <c r="D16" s="259" t="s">
        <v>355</v>
      </c>
      <c r="E16" s="190">
        <f>SUM(E10:E15)</f>
        <v>104842941</v>
      </c>
      <c r="F16" s="190">
        <f>SUM(F10:F15)</f>
        <v>0</v>
      </c>
      <c r="G16" s="190">
        <f>SUM(G10:G15)</f>
        <v>8320160</v>
      </c>
      <c r="H16" s="190">
        <f>SUM(H10:H15)</f>
        <v>0</v>
      </c>
      <c r="I16" s="190">
        <f>SUM(I10:I15)</f>
        <v>113163101</v>
      </c>
      <c r="J16" s="190">
        <f t="shared" ref="J16:T16" si="7">SUM(J10:J15)</f>
        <v>114076</v>
      </c>
      <c r="K16" s="190">
        <f t="shared" si="7"/>
        <v>1121993</v>
      </c>
      <c r="L16" s="190">
        <f t="shared" si="7"/>
        <v>1700000</v>
      </c>
      <c r="M16" s="190">
        <f t="shared" si="7"/>
        <v>407000</v>
      </c>
      <c r="N16" s="190">
        <f>SUM(N10:N15)</f>
        <v>3343069</v>
      </c>
      <c r="O16" s="190">
        <f t="shared" si="7"/>
        <v>0</v>
      </c>
      <c r="P16" s="190"/>
      <c r="Q16" s="190">
        <f t="shared" si="7"/>
        <v>0</v>
      </c>
      <c r="R16" s="190"/>
      <c r="S16" s="190">
        <f>SUM(S10:S15)</f>
        <v>0</v>
      </c>
      <c r="T16" s="190">
        <f t="shared" si="7"/>
        <v>116506170</v>
      </c>
    </row>
    <row r="17" spans="1:20" s="267" customFormat="1" ht="25.5" customHeight="1" x14ac:dyDescent="0.2">
      <c r="A17" s="268" t="s">
        <v>40</v>
      </c>
      <c r="B17" s="491" t="s">
        <v>105</v>
      </c>
      <c r="C17" s="491"/>
      <c r="D17" s="259" t="s">
        <v>356</v>
      </c>
      <c r="E17" s="190">
        <f>'2. Kiadások'!E15</f>
        <v>1400000</v>
      </c>
      <c r="F17" s="190"/>
      <c r="G17" s="190">
        <f>'2. Kiadások'!I15</f>
        <v>0</v>
      </c>
      <c r="H17" s="190"/>
      <c r="I17" s="190">
        <f t="shared" ref="I17:I25" si="8">SUM(E17:H17)</f>
        <v>1400000</v>
      </c>
      <c r="J17" s="264">
        <v>0</v>
      </c>
      <c r="K17" s="264"/>
      <c r="L17" s="264">
        <v>0</v>
      </c>
      <c r="M17" s="264"/>
      <c r="N17" s="190">
        <f>SUM(J17:M17)</f>
        <v>0</v>
      </c>
      <c r="O17" s="264">
        <v>0</v>
      </c>
      <c r="P17" s="264"/>
      <c r="Q17" s="264">
        <v>0</v>
      </c>
      <c r="R17" s="264"/>
      <c r="S17" s="190">
        <f t="shared" ref="S17:S19" si="9">SUM(O17:Q17)</f>
        <v>0</v>
      </c>
      <c r="T17" s="190">
        <f>I17+N17+S17</f>
        <v>1400000</v>
      </c>
    </row>
    <row r="18" spans="1:20" s="267" customFormat="1" ht="25.5" customHeight="1" x14ac:dyDescent="0.2">
      <c r="A18" s="268" t="s">
        <v>41</v>
      </c>
      <c r="B18" s="491" t="s">
        <v>261</v>
      </c>
      <c r="C18" s="491"/>
      <c r="D18" s="259" t="s">
        <v>357</v>
      </c>
      <c r="E18" s="190">
        <f>'2. Kiadások'!E16</f>
        <v>5744100</v>
      </c>
      <c r="F18" s="190">
        <v>4350819</v>
      </c>
      <c r="G18" s="190">
        <f>'2. Kiadások'!I16</f>
        <v>0</v>
      </c>
      <c r="H18" s="190"/>
      <c r="I18" s="190">
        <f t="shared" si="8"/>
        <v>10094919</v>
      </c>
      <c r="J18" s="264">
        <v>0</v>
      </c>
      <c r="K18" s="264"/>
      <c r="L18" s="264">
        <v>0</v>
      </c>
      <c r="M18" s="264"/>
      <c r="N18" s="190">
        <f>SUM(J18:M18)</f>
        <v>0</v>
      </c>
      <c r="O18" s="264">
        <v>0</v>
      </c>
      <c r="P18" s="264"/>
      <c r="Q18" s="264">
        <v>0</v>
      </c>
      <c r="R18" s="264"/>
      <c r="S18" s="190">
        <f t="shared" si="9"/>
        <v>0</v>
      </c>
      <c r="T18" s="190">
        <f>I18+N18+S18</f>
        <v>10094919</v>
      </c>
    </row>
    <row r="19" spans="1:20" ht="25.5" x14ac:dyDescent="0.2">
      <c r="A19" s="488" t="s">
        <v>46</v>
      </c>
      <c r="B19" s="164"/>
      <c r="C19" s="165" t="s">
        <v>262</v>
      </c>
      <c r="D19" s="165" t="s">
        <v>358</v>
      </c>
      <c r="E19" s="166">
        <f>'2. Kiadások'!E17</f>
        <v>247363673</v>
      </c>
      <c r="F19" s="166"/>
      <c r="G19" s="166">
        <f>'2. Kiadások'!I17</f>
        <v>941822</v>
      </c>
      <c r="H19" s="166"/>
      <c r="I19" s="166">
        <f t="shared" si="8"/>
        <v>248305495</v>
      </c>
      <c r="J19" s="255">
        <v>0</v>
      </c>
      <c r="K19" s="255"/>
      <c r="L19" s="255">
        <v>0</v>
      </c>
      <c r="M19" s="255"/>
      <c r="N19" s="166">
        <f>SUM(J19:M19)</f>
        <v>0</v>
      </c>
      <c r="O19" s="255">
        <v>0</v>
      </c>
      <c r="P19" s="255"/>
      <c r="Q19" s="255">
        <v>0</v>
      </c>
      <c r="R19" s="255"/>
      <c r="S19" s="166">
        <f t="shared" si="9"/>
        <v>0</v>
      </c>
      <c r="T19" s="166">
        <f t="shared" ref="T19:T20" si="10">I19+N19+S19</f>
        <v>248305495</v>
      </c>
    </row>
    <row r="20" spans="1:20" ht="25.5" x14ac:dyDescent="0.2">
      <c r="A20" s="526"/>
      <c r="B20" s="164"/>
      <c r="C20" s="165" t="s">
        <v>263</v>
      </c>
      <c r="D20" s="165" t="s">
        <v>359</v>
      </c>
      <c r="E20" s="166">
        <f>'2. Kiadások'!E18-33629305</f>
        <v>0</v>
      </c>
      <c r="F20" s="166">
        <v>75000</v>
      </c>
      <c r="G20" s="166">
        <f>'2. Kiadások'!I18</f>
        <v>0</v>
      </c>
      <c r="H20" s="166"/>
      <c r="I20" s="166">
        <f t="shared" si="8"/>
        <v>75000</v>
      </c>
      <c r="J20" s="166">
        <v>33629305</v>
      </c>
      <c r="K20" s="166"/>
      <c r="L20" s="166">
        <v>0</v>
      </c>
      <c r="M20" s="166"/>
      <c r="N20" s="166">
        <f>SUM(J20:M20)</f>
        <v>33629305</v>
      </c>
      <c r="O20" s="255">
        <v>0</v>
      </c>
      <c r="P20" s="255"/>
      <c r="Q20" s="255">
        <v>0</v>
      </c>
      <c r="R20" s="255"/>
      <c r="S20" s="255">
        <v>0</v>
      </c>
      <c r="T20" s="166">
        <f t="shared" si="10"/>
        <v>33704305</v>
      </c>
    </row>
    <row r="21" spans="1:20" ht="25.5" customHeight="1" x14ac:dyDescent="0.2">
      <c r="A21" s="489"/>
      <c r="B21" s="491" t="s">
        <v>264</v>
      </c>
      <c r="C21" s="491"/>
      <c r="D21" s="259" t="s">
        <v>421</v>
      </c>
      <c r="E21" s="190">
        <f>SUM(E19:E20)</f>
        <v>247363673</v>
      </c>
      <c r="F21" s="190">
        <f>SUM(F19:F20)</f>
        <v>75000</v>
      </c>
      <c r="G21" s="190">
        <f t="shared" ref="G21" si="11">SUM(G19:G20)</f>
        <v>941822</v>
      </c>
      <c r="H21" s="190"/>
      <c r="I21" s="190">
        <f t="shared" si="8"/>
        <v>248380495</v>
      </c>
      <c r="J21" s="190">
        <f t="shared" ref="J21:T21" si="12">SUM(J19:J20)</f>
        <v>33629305</v>
      </c>
      <c r="K21" s="190">
        <f t="shared" si="12"/>
        <v>0</v>
      </c>
      <c r="L21" s="190">
        <f t="shared" si="12"/>
        <v>0</v>
      </c>
      <c r="M21" s="190">
        <f t="shared" si="12"/>
        <v>0</v>
      </c>
      <c r="N21" s="190">
        <f t="shared" ref="N21:N27" si="13">SUM(J21:L21)</f>
        <v>33629305</v>
      </c>
      <c r="O21" s="190">
        <f t="shared" si="12"/>
        <v>0</v>
      </c>
      <c r="P21" s="190"/>
      <c r="Q21" s="190">
        <f t="shared" si="12"/>
        <v>0</v>
      </c>
      <c r="R21" s="190"/>
      <c r="S21" s="190">
        <f t="shared" ref="S21:S25" si="14">SUM(O21:Q21)</f>
        <v>0</v>
      </c>
      <c r="T21" s="190">
        <f t="shared" si="12"/>
        <v>282009800</v>
      </c>
    </row>
    <row r="22" spans="1:20" s="269" customFormat="1" ht="25.5" customHeight="1" x14ac:dyDescent="0.2">
      <c r="A22" s="268" t="s">
        <v>48</v>
      </c>
      <c r="B22" s="512" t="s">
        <v>425</v>
      </c>
      <c r="C22" s="513"/>
      <c r="D22" s="249" t="s">
        <v>360</v>
      </c>
      <c r="E22" s="199">
        <f>'2. Kiadások'!E20</f>
        <v>5288426</v>
      </c>
      <c r="F22" s="199">
        <v>8518220</v>
      </c>
      <c r="G22" s="200">
        <f>'2. Kiadások'!I20</f>
        <v>0</v>
      </c>
      <c r="H22" s="200"/>
      <c r="I22" s="200">
        <f t="shared" si="8"/>
        <v>13806646</v>
      </c>
      <c r="J22" s="265">
        <v>0</v>
      </c>
      <c r="K22" s="265"/>
      <c r="L22" s="265">
        <v>0</v>
      </c>
      <c r="M22" s="265"/>
      <c r="N22" s="200">
        <f t="shared" si="13"/>
        <v>0</v>
      </c>
      <c r="O22" s="265">
        <v>0</v>
      </c>
      <c r="P22" s="265"/>
      <c r="Q22" s="265">
        <v>0</v>
      </c>
      <c r="R22" s="265"/>
      <c r="S22" s="200">
        <f t="shared" si="14"/>
        <v>0</v>
      </c>
      <c r="T22" s="190">
        <f>I22+N22+S22</f>
        <v>13806646</v>
      </c>
    </row>
    <row r="23" spans="1:20" s="179" customFormat="1" ht="19.5" customHeight="1" x14ac:dyDescent="0.2">
      <c r="A23" s="270" t="s">
        <v>49</v>
      </c>
      <c r="B23" s="491" t="s">
        <v>265</v>
      </c>
      <c r="C23" s="491"/>
      <c r="D23" s="259" t="s">
        <v>361</v>
      </c>
      <c r="E23" s="190">
        <f>'2. Kiadások'!E21</f>
        <v>804612646</v>
      </c>
      <c r="F23" s="190">
        <v>274610</v>
      </c>
      <c r="G23" s="190">
        <f>'2. Kiadások'!I21</f>
        <v>0</v>
      </c>
      <c r="H23" s="190"/>
      <c r="I23" s="190">
        <f t="shared" si="8"/>
        <v>804887256</v>
      </c>
      <c r="J23" s="264">
        <v>0</v>
      </c>
      <c r="K23" s="264"/>
      <c r="L23" s="264">
        <v>0</v>
      </c>
      <c r="M23" s="264"/>
      <c r="N23" s="190">
        <f t="shared" si="13"/>
        <v>0</v>
      </c>
      <c r="O23" s="264">
        <v>0</v>
      </c>
      <c r="P23" s="264"/>
      <c r="Q23" s="264">
        <v>0</v>
      </c>
      <c r="R23" s="264"/>
      <c r="S23" s="190">
        <f t="shared" si="14"/>
        <v>0</v>
      </c>
      <c r="T23" s="190">
        <f>I23+N23+S23</f>
        <v>804887256</v>
      </c>
    </row>
    <row r="24" spans="1:20" s="179" customFormat="1" ht="18.75" customHeight="1" x14ac:dyDescent="0.2">
      <c r="A24" s="270" t="s">
        <v>50</v>
      </c>
      <c r="B24" s="491" t="s">
        <v>151</v>
      </c>
      <c r="C24" s="491"/>
      <c r="D24" s="259" t="s">
        <v>362</v>
      </c>
      <c r="E24" s="190">
        <f>'2. Kiadások'!E22</f>
        <v>123033604</v>
      </c>
      <c r="F24" s="190">
        <v>0</v>
      </c>
      <c r="G24" s="190">
        <f>'2. Kiadások'!I22</f>
        <v>0</v>
      </c>
      <c r="H24" s="190"/>
      <c r="I24" s="190">
        <f t="shared" si="8"/>
        <v>123033604</v>
      </c>
      <c r="J24" s="264">
        <v>0</v>
      </c>
      <c r="K24" s="264"/>
      <c r="L24" s="264">
        <v>0</v>
      </c>
      <c r="M24" s="264"/>
      <c r="N24" s="190">
        <f t="shared" si="13"/>
        <v>0</v>
      </c>
      <c r="O24" s="264">
        <v>0</v>
      </c>
      <c r="P24" s="264"/>
      <c r="Q24" s="264">
        <v>0</v>
      </c>
      <c r="R24" s="264"/>
      <c r="S24" s="190">
        <f t="shared" si="14"/>
        <v>0</v>
      </c>
      <c r="T24" s="190">
        <f>I24+N24+S24</f>
        <v>123033604</v>
      </c>
    </row>
    <row r="25" spans="1:20" ht="25.5" x14ac:dyDescent="0.2">
      <c r="A25" s="488" t="s">
        <v>51</v>
      </c>
      <c r="B25" s="164"/>
      <c r="C25" s="165" t="s">
        <v>266</v>
      </c>
      <c r="D25" s="165" t="s">
        <v>75</v>
      </c>
      <c r="E25" s="166">
        <f>'2. Kiadások'!E23</f>
        <v>0</v>
      </c>
      <c r="F25" s="166">
        <v>1214532</v>
      </c>
      <c r="G25" s="166">
        <f>'2. Kiadások'!I23</f>
        <v>0</v>
      </c>
      <c r="H25" s="166"/>
      <c r="I25" s="166">
        <f t="shared" si="8"/>
        <v>1214532</v>
      </c>
      <c r="J25" s="255">
        <v>0</v>
      </c>
      <c r="K25" s="255"/>
      <c r="L25" s="255">
        <v>0</v>
      </c>
      <c r="M25" s="255"/>
      <c r="N25" s="166">
        <f t="shared" si="13"/>
        <v>0</v>
      </c>
      <c r="O25" s="255">
        <v>0</v>
      </c>
      <c r="P25" s="255"/>
      <c r="Q25" s="255">
        <v>0</v>
      </c>
      <c r="R25" s="255"/>
      <c r="S25" s="166">
        <f t="shared" si="14"/>
        <v>0</v>
      </c>
      <c r="T25" s="166">
        <f t="shared" ref="T25:T27" si="15">I25+N25+S25</f>
        <v>1214532</v>
      </c>
    </row>
    <row r="26" spans="1:20" ht="25.5" x14ac:dyDescent="0.2">
      <c r="A26" s="526"/>
      <c r="B26" s="164"/>
      <c r="C26" s="165" t="s">
        <v>267</v>
      </c>
      <c r="D26" s="165" t="s">
        <v>76</v>
      </c>
      <c r="E26" s="166">
        <f>'2. Kiadások'!E24-2000000</f>
        <v>0</v>
      </c>
      <c r="F26" s="166"/>
      <c r="G26" s="166">
        <f>'2. Kiadások'!I24</f>
        <v>0</v>
      </c>
      <c r="H26" s="166"/>
      <c r="I26" s="166">
        <f t="shared" ref="I26:I27" si="16">SUM(E26:H26)</f>
        <v>0</v>
      </c>
      <c r="J26" s="166">
        <v>2000000</v>
      </c>
      <c r="K26" s="166">
        <v>0</v>
      </c>
      <c r="L26" s="166">
        <v>0</v>
      </c>
      <c r="M26" s="166"/>
      <c r="N26" s="166">
        <f t="shared" si="13"/>
        <v>2000000</v>
      </c>
      <c r="O26" s="255">
        <v>0</v>
      </c>
      <c r="P26" s="255"/>
      <c r="Q26" s="255">
        <v>0</v>
      </c>
      <c r="R26" s="255"/>
      <c r="S26" s="255">
        <v>0</v>
      </c>
      <c r="T26" s="166">
        <f t="shared" si="15"/>
        <v>2000000</v>
      </c>
    </row>
    <row r="27" spans="1:20" ht="25.5" x14ac:dyDescent="0.2">
      <c r="A27" s="526"/>
      <c r="B27" s="164"/>
      <c r="C27" s="165" t="s">
        <v>268</v>
      </c>
      <c r="D27" s="165" t="s">
        <v>424</v>
      </c>
      <c r="E27" s="166">
        <f>'2. Kiadások'!E25</f>
        <v>0</v>
      </c>
      <c r="F27" s="166"/>
      <c r="G27" s="166">
        <f>'2. Kiadások'!I25</f>
        <v>0</v>
      </c>
      <c r="H27" s="166"/>
      <c r="I27" s="166">
        <f t="shared" si="16"/>
        <v>0</v>
      </c>
      <c r="J27" s="255">
        <v>0</v>
      </c>
      <c r="K27" s="255"/>
      <c r="L27" s="255">
        <v>0</v>
      </c>
      <c r="M27" s="255"/>
      <c r="N27" s="166">
        <f t="shared" si="13"/>
        <v>0</v>
      </c>
      <c r="O27" s="255">
        <v>0</v>
      </c>
      <c r="P27" s="255"/>
      <c r="Q27" s="255">
        <v>0</v>
      </c>
      <c r="R27" s="255"/>
      <c r="S27" s="166">
        <f t="shared" ref="S27" si="17">SUM(O27:Q27)</f>
        <v>0</v>
      </c>
      <c r="T27" s="166">
        <f t="shared" si="15"/>
        <v>0</v>
      </c>
    </row>
    <row r="28" spans="1:20" s="267" customFormat="1" ht="25.5" customHeight="1" x14ac:dyDescent="0.2">
      <c r="A28" s="489"/>
      <c r="B28" s="491" t="s">
        <v>269</v>
      </c>
      <c r="C28" s="491"/>
      <c r="D28" s="259" t="s">
        <v>363</v>
      </c>
      <c r="E28" s="190">
        <f>SUM(E25:E27)</f>
        <v>0</v>
      </c>
      <c r="F28" s="190">
        <f>SUM(F25:F27)</f>
        <v>1214532</v>
      </c>
      <c r="G28" s="190">
        <f>SUM(G25:G27)</f>
        <v>0</v>
      </c>
      <c r="H28" s="190">
        <f>SUM(H25:H27)</f>
        <v>0</v>
      </c>
      <c r="I28" s="190">
        <f>SUM(I25:I27)</f>
        <v>1214532</v>
      </c>
      <c r="J28" s="190">
        <f t="shared" ref="J28:Q28" si="18">SUM(J25:J27)</f>
        <v>2000000</v>
      </c>
      <c r="K28" s="190">
        <f t="shared" si="18"/>
        <v>0</v>
      </c>
      <c r="L28" s="190">
        <f t="shared" si="18"/>
        <v>0</v>
      </c>
      <c r="M28" s="190">
        <f t="shared" si="18"/>
        <v>0</v>
      </c>
      <c r="N28" s="190">
        <f>SUM(N25:N27)</f>
        <v>2000000</v>
      </c>
      <c r="O28" s="190">
        <f t="shared" si="18"/>
        <v>0</v>
      </c>
      <c r="P28" s="190"/>
      <c r="Q28" s="190">
        <f t="shared" si="18"/>
        <v>0</v>
      </c>
      <c r="R28" s="190"/>
      <c r="S28" s="190">
        <f>SUM(S25:S27)</f>
        <v>0</v>
      </c>
      <c r="T28" s="190">
        <f>I28+N28+S28</f>
        <v>3214532</v>
      </c>
    </row>
    <row r="29" spans="1:20" s="267" customFormat="1" ht="25.5" customHeight="1" x14ac:dyDescent="0.2">
      <c r="A29" s="485" t="s">
        <v>270</v>
      </c>
      <c r="B29" s="485"/>
      <c r="C29" s="485"/>
      <c r="D29" s="261" t="s">
        <v>364</v>
      </c>
      <c r="E29" s="192">
        <f>E8+E9+E16+E17+E18+E21+E23+E24+E28+E22</f>
        <v>1352716042</v>
      </c>
      <c r="F29" s="192">
        <f>F8+F9+F16+F17+F18+F21+F23+F24+F28+F22</f>
        <v>16138981</v>
      </c>
      <c r="G29" s="192">
        <f>G8+G9+G16+G17+G18+G21+G23+G24+G28+G22</f>
        <v>106768736</v>
      </c>
      <c r="H29" s="192">
        <f>H8+H9+H16+H17+H18+H21+H23+H24+H28+H22</f>
        <v>70000</v>
      </c>
      <c r="I29" s="192">
        <f t="shared" ref="I29:T29" si="19">I8+I9+I16+I17+I18+I21+I23+I24+I28+I22</f>
        <v>1475923360</v>
      </c>
      <c r="J29" s="192">
        <f t="shared" si="19"/>
        <v>35743381</v>
      </c>
      <c r="K29" s="192">
        <f t="shared" si="19"/>
        <v>1121993</v>
      </c>
      <c r="L29" s="192">
        <f t="shared" si="19"/>
        <v>1700000</v>
      </c>
      <c r="M29" s="192">
        <f t="shared" si="19"/>
        <v>407000</v>
      </c>
      <c r="N29" s="192">
        <f t="shared" si="19"/>
        <v>38972374</v>
      </c>
      <c r="O29" s="192">
        <f t="shared" si="19"/>
        <v>0</v>
      </c>
      <c r="P29" s="192"/>
      <c r="Q29" s="192">
        <f t="shared" si="19"/>
        <v>0</v>
      </c>
      <c r="R29" s="192"/>
      <c r="S29" s="192">
        <f t="shared" si="19"/>
        <v>0</v>
      </c>
      <c r="T29" s="192">
        <f t="shared" si="19"/>
        <v>1514895734</v>
      </c>
    </row>
    <row r="30" spans="1:20" x14ac:dyDescent="0.2">
      <c r="A30" s="488" t="s">
        <v>23</v>
      </c>
      <c r="B30" s="164"/>
      <c r="C30" s="165" t="s">
        <v>273</v>
      </c>
      <c r="D30" s="165" t="s">
        <v>365</v>
      </c>
      <c r="E30" s="166">
        <f>'2. Kiadások'!E28</f>
        <v>11319727</v>
      </c>
      <c r="F30" s="166"/>
      <c r="G30" s="166">
        <f>'2. Kiadások'!I28</f>
        <v>0</v>
      </c>
      <c r="H30" s="166"/>
      <c r="I30" s="166">
        <f>SUM(E30:G30)</f>
        <v>11319727</v>
      </c>
      <c r="J30" s="255">
        <v>0</v>
      </c>
      <c r="K30" s="255"/>
      <c r="L30" s="255">
        <v>0</v>
      </c>
      <c r="M30" s="255"/>
      <c r="N30" s="166">
        <f>SUM(J30:L30)</f>
        <v>0</v>
      </c>
      <c r="O30" s="255">
        <v>0</v>
      </c>
      <c r="P30" s="255"/>
      <c r="Q30" s="255">
        <v>0</v>
      </c>
      <c r="R30" s="255"/>
      <c r="S30" s="166">
        <f>SUM(O30:Q30)</f>
        <v>0</v>
      </c>
      <c r="T30" s="166">
        <f t="shared" ref="T30:T31" si="20">I30+N30+S30</f>
        <v>11319727</v>
      </c>
    </row>
    <row r="31" spans="1:20" x14ac:dyDescent="0.2">
      <c r="A31" s="489"/>
      <c r="B31" s="164"/>
      <c r="C31" s="165" t="s">
        <v>274</v>
      </c>
      <c r="D31" s="165" t="s">
        <v>77</v>
      </c>
      <c r="E31" s="166">
        <f>'2. Kiadások'!E29</f>
        <v>105524914</v>
      </c>
      <c r="F31" s="166"/>
      <c r="G31" s="166">
        <f>'2. Kiadások'!I29</f>
        <v>0</v>
      </c>
      <c r="H31" s="166"/>
      <c r="I31" s="166">
        <f>SUM(E31:G31)</f>
        <v>105524914</v>
      </c>
      <c r="J31" s="255">
        <v>0</v>
      </c>
      <c r="K31" s="255"/>
      <c r="L31" s="255">
        <v>0</v>
      </c>
      <c r="M31" s="255"/>
      <c r="N31" s="166">
        <f>SUM(J31:L31)</f>
        <v>0</v>
      </c>
      <c r="O31" s="255">
        <v>0</v>
      </c>
      <c r="P31" s="255"/>
      <c r="Q31" s="255">
        <v>0</v>
      </c>
      <c r="R31" s="255"/>
      <c r="S31" s="166">
        <f>SUM(O31:Q31)</f>
        <v>0</v>
      </c>
      <c r="T31" s="166">
        <f t="shared" si="20"/>
        <v>105524914</v>
      </c>
    </row>
    <row r="32" spans="1:20" s="267" customFormat="1" ht="22.5" customHeight="1" x14ac:dyDescent="0.2">
      <c r="A32" s="523" t="s">
        <v>271</v>
      </c>
      <c r="B32" s="524"/>
      <c r="C32" s="525"/>
      <c r="D32" s="266" t="s">
        <v>366</v>
      </c>
      <c r="E32" s="192">
        <f>SUM(E30:E31)</f>
        <v>116844641</v>
      </c>
      <c r="F32" s="192">
        <f>SUM(F30:F31)</f>
        <v>0</v>
      </c>
      <c r="G32" s="192">
        <f>SUM(G30:G31)</f>
        <v>0</v>
      </c>
      <c r="H32" s="192">
        <f>SUM(H30:H31)</f>
        <v>0</v>
      </c>
      <c r="I32" s="192">
        <f>SUM(I30:I31)</f>
        <v>116844641</v>
      </c>
      <c r="J32" s="192">
        <f t="shared" ref="J32:T32" si="21">SUM(J30:J31)</f>
        <v>0</v>
      </c>
      <c r="K32" s="192"/>
      <c r="L32" s="192">
        <f t="shared" si="21"/>
        <v>0</v>
      </c>
      <c r="M32" s="192">
        <f t="shared" si="21"/>
        <v>0</v>
      </c>
      <c r="N32" s="192">
        <f>SUM(N30:N31)</f>
        <v>0</v>
      </c>
      <c r="O32" s="192">
        <f t="shared" si="21"/>
        <v>0</v>
      </c>
      <c r="P32" s="192"/>
      <c r="Q32" s="192">
        <f t="shared" si="21"/>
        <v>0</v>
      </c>
      <c r="R32" s="192"/>
      <c r="S32" s="192">
        <f>SUM(S30:S31)</f>
        <v>0</v>
      </c>
      <c r="T32" s="192">
        <f t="shared" si="21"/>
        <v>116844641</v>
      </c>
    </row>
    <row r="33" spans="1:20" s="159" customFormat="1" ht="22.5" customHeight="1" x14ac:dyDescent="0.2">
      <c r="A33" s="486" t="s">
        <v>272</v>
      </c>
      <c r="B33" s="486"/>
      <c r="C33" s="486"/>
      <c r="D33" s="250"/>
      <c r="E33" s="175">
        <f>E29+E32</f>
        <v>1469560683</v>
      </c>
      <c r="F33" s="175">
        <f t="shared" ref="F33:H33" si="22">F29+F32</f>
        <v>16138981</v>
      </c>
      <c r="G33" s="175">
        <f t="shared" si="22"/>
        <v>106768736</v>
      </c>
      <c r="H33" s="175">
        <f t="shared" si="22"/>
        <v>70000</v>
      </c>
      <c r="I33" s="175">
        <f>I29+I32</f>
        <v>1592768001</v>
      </c>
      <c r="J33" s="175">
        <f t="shared" ref="J33:T33" si="23">J29+J32</f>
        <v>35743381</v>
      </c>
      <c r="K33" s="175">
        <f t="shared" si="23"/>
        <v>1121993</v>
      </c>
      <c r="L33" s="175">
        <f t="shared" si="23"/>
        <v>1700000</v>
      </c>
      <c r="M33" s="175">
        <f t="shared" si="23"/>
        <v>407000</v>
      </c>
      <c r="N33" s="175">
        <f>N29+N32</f>
        <v>38972374</v>
      </c>
      <c r="O33" s="175">
        <f t="shared" si="23"/>
        <v>0</v>
      </c>
      <c r="P33" s="175"/>
      <c r="Q33" s="175">
        <f t="shared" si="23"/>
        <v>0</v>
      </c>
      <c r="R33" s="175"/>
      <c r="S33" s="175">
        <f>S29+S32</f>
        <v>0</v>
      </c>
      <c r="T33" s="175">
        <f t="shared" si="23"/>
        <v>1631740375</v>
      </c>
    </row>
  </sheetData>
  <mergeCells count="30">
    <mergeCell ref="T4:T5"/>
    <mergeCell ref="B16:C16"/>
    <mergeCell ref="A3:C5"/>
    <mergeCell ref="D3:D5"/>
    <mergeCell ref="E3:T3"/>
    <mergeCell ref="I4:I5"/>
    <mergeCell ref="N4:N5"/>
    <mergeCell ref="E4:H4"/>
    <mergeCell ref="J4:M4"/>
    <mergeCell ref="B28:C28"/>
    <mergeCell ref="A29:C29"/>
    <mergeCell ref="A30:A31"/>
    <mergeCell ref="S4:S5"/>
    <mergeCell ref="O4:R4"/>
    <mergeCell ref="A1:T1"/>
    <mergeCell ref="A2:S2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</mergeCells>
  <pageMargins left="0.7" right="0.7" top="0.75" bottom="0.75" header="0.3" footer="0.3"/>
  <pageSetup paperSize="9" scale="73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2"/>
  <sheetViews>
    <sheetView zoomScaleNormal="100" workbookViewId="0">
      <selection activeCell="C20" sqref="C20"/>
    </sheetView>
  </sheetViews>
  <sheetFormatPr defaultRowHeight="12.75" x14ac:dyDescent="0.2"/>
  <cols>
    <col min="1" max="1" width="5.85546875" style="184" customWidth="1"/>
    <col min="2" max="2" width="47.28515625" style="185" customWidth="1"/>
    <col min="3" max="6" width="13" style="185" customWidth="1"/>
    <col min="7" max="7" width="12.28515625" style="185" customWidth="1"/>
    <col min="8" max="8" width="13.28515625" style="185" bestFit="1" customWidth="1"/>
    <col min="9" max="10" width="12.28515625" style="185" customWidth="1"/>
    <col min="11" max="11" width="16.5703125" style="196" bestFit="1" customWidth="1"/>
    <col min="12" max="12" width="47.28515625" style="184" customWidth="1"/>
    <col min="13" max="16" width="14.7109375" style="184" customWidth="1"/>
    <col min="17" max="20" width="13.42578125" style="184" customWidth="1"/>
    <col min="21" max="21" width="16.5703125" style="184" bestFit="1" customWidth="1"/>
    <col min="22" max="22" width="4.140625" style="184" customWidth="1"/>
    <col min="23" max="16384" width="9.140625" style="184"/>
  </cols>
  <sheetData>
    <row r="1" spans="1:22" ht="39.75" customHeight="1" x14ac:dyDescent="0.2">
      <c r="A1" s="182"/>
      <c r="B1" s="90" t="s">
        <v>381</v>
      </c>
      <c r="C1" s="90"/>
      <c r="D1" s="90"/>
      <c r="E1" s="90"/>
      <c r="F1" s="90"/>
      <c r="G1" s="90"/>
      <c r="H1" s="90"/>
      <c r="I1" s="90"/>
      <c r="J1" s="90"/>
      <c r="K1" s="195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527"/>
    </row>
    <row r="2" spans="1:22" ht="14.25" thickBot="1" x14ac:dyDescent="0.25">
      <c r="U2" s="91" t="s">
        <v>216</v>
      </c>
      <c r="V2" s="527"/>
    </row>
    <row r="3" spans="1:22" ht="18" customHeight="1" thickBot="1" x14ac:dyDescent="0.25">
      <c r="A3" s="528" t="s">
        <v>100</v>
      </c>
      <c r="B3" s="92" t="s">
        <v>101</v>
      </c>
      <c r="C3" s="337"/>
      <c r="D3" s="337"/>
      <c r="E3" s="337"/>
      <c r="F3" s="337"/>
      <c r="G3" s="337"/>
      <c r="H3" s="337"/>
      <c r="I3" s="337"/>
      <c r="J3" s="337"/>
      <c r="K3" s="93"/>
      <c r="L3" s="92" t="s">
        <v>102</v>
      </c>
      <c r="M3" s="284"/>
      <c r="N3" s="284"/>
      <c r="O3" s="284"/>
      <c r="P3" s="284"/>
      <c r="Q3" s="284"/>
      <c r="R3" s="284"/>
      <c r="S3" s="284"/>
      <c r="T3" s="284"/>
      <c r="U3" s="284"/>
      <c r="V3" s="527"/>
    </row>
    <row r="4" spans="1:22" s="96" customFormat="1" ht="35.25" customHeight="1" thickBot="1" x14ac:dyDescent="0.25">
      <c r="A4" s="529"/>
      <c r="B4" s="356" t="s">
        <v>36</v>
      </c>
      <c r="C4" s="369" t="s">
        <v>201</v>
      </c>
      <c r="D4" s="434" t="s">
        <v>426</v>
      </c>
      <c r="E4" s="434" t="s">
        <v>432</v>
      </c>
      <c r="F4" s="434" t="s">
        <v>428</v>
      </c>
      <c r="G4" s="338" t="s">
        <v>89</v>
      </c>
      <c r="H4" s="434" t="s">
        <v>426</v>
      </c>
      <c r="I4" s="434" t="s">
        <v>432</v>
      </c>
      <c r="J4" s="434" t="s">
        <v>428</v>
      </c>
      <c r="K4" s="95" t="s">
        <v>416</v>
      </c>
      <c r="L4" s="94" t="s">
        <v>36</v>
      </c>
      <c r="M4" s="338" t="s">
        <v>201</v>
      </c>
      <c r="N4" s="434" t="s">
        <v>426</v>
      </c>
      <c r="O4" s="434" t="s">
        <v>432</v>
      </c>
      <c r="P4" s="434" t="s">
        <v>428</v>
      </c>
      <c r="Q4" s="338" t="s">
        <v>89</v>
      </c>
      <c r="R4" s="434" t="s">
        <v>426</v>
      </c>
      <c r="S4" s="434" t="s">
        <v>432</v>
      </c>
      <c r="T4" s="434" t="s">
        <v>428</v>
      </c>
      <c r="U4" s="95" t="s">
        <v>416</v>
      </c>
      <c r="V4" s="527"/>
    </row>
    <row r="5" spans="1:22" s="101" customFormat="1" ht="12" customHeight="1" thickBot="1" x14ac:dyDescent="0.25">
      <c r="A5" s="97">
        <v>1</v>
      </c>
      <c r="B5" s="357">
        <v>2</v>
      </c>
      <c r="C5" s="97"/>
      <c r="D5" s="349"/>
      <c r="E5" s="349"/>
      <c r="F5" s="349"/>
      <c r="G5" s="339"/>
      <c r="H5" s="339"/>
      <c r="I5" s="339"/>
      <c r="J5" s="339"/>
      <c r="K5" s="99" t="s">
        <v>39</v>
      </c>
      <c r="L5" s="357" t="s">
        <v>40</v>
      </c>
      <c r="M5" s="456"/>
      <c r="N5" s="349"/>
      <c r="O5" s="349"/>
      <c r="P5" s="349"/>
      <c r="Q5" s="349"/>
      <c r="R5" s="349"/>
      <c r="S5" s="349"/>
      <c r="T5" s="339"/>
      <c r="U5" s="100" t="s">
        <v>41</v>
      </c>
      <c r="V5" s="527"/>
    </row>
    <row r="6" spans="1:22" ht="12.95" customHeight="1" x14ac:dyDescent="0.2">
      <c r="A6" s="186" t="s">
        <v>37</v>
      </c>
      <c r="B6" s="358" t="s">
        <v>12</v>
      </c>
      <c r="C6" s="373">
        <f>'1. Bevételek'!E22</f>
        <v>181104000</v>
      </c>
      <c r="D6" s="340">
        <f>E6-C6</f>
        <v>-12874005</v>
      </c>
      <c r="E6" s="340">
        <v>168229995</v>
      </c>
      <c r="F6" s="340">
        <v>65070189</v>
      </c>
      <c r="G6" s="340">
        <f>K6-C6</f>
        <v>0</v>
      </c>
      <c r="H6" s="340"/>
      <c r="I6" s="340"/>
      <c r="J6" s="340"/>
      <c r="K6" s="180">
        <f>'1. Bevételek'!M22</f>
        <v>181104000</v>
      </c>
      <c r="L6" s="358" t="s">
        <v>1</v>
      </c>
      <c r="M6" s="455">
        <f>'2. Kiadások'!E7</f>
        <v>51587132</v>
      </c>
      <c r="N6" s="413">
        <f>O6-M6</f>
        <v>1744371</v>
      </c>
      <c r="O6" s="413">
        <v>53331503</v>
      </c>
      <c r="P6" s="413">
        <v>21259389</v>
      </c>
      <c r="Q6" s="413">
        <f>U6-M6</f>
        <v>82810304</v>
      </c>
      <c r="R6" s="413">
        <f>S6-Q6</f>
        <v>299601</v>
      </c>
      <c r="S6" s="413">
        <v>83109905</v>
      </c>
      <c r="T6" s="413">
        <v>40560458</v>
      </c>
      <c r="U6" s="103">
        <f>'2. Kiadások'!M7</f>
        <v>134397436</v>
      </c>
      <c r="V6" s="527"/>
    </row>
    <row r="7" spans="1:22" ht="12.95" customHeight="1" x14ac:dyDescent="0.2">
      <c r="A7" s="187" t="s">
        <v>38</v>
      </c>
      <c r="B7" s="359" t="s">
        <v>204</v>
      </c>
      <c r="C7" s="104">
        <f>'1. Bevételek'!E31</f>
        <v>17865603</v>
      </c>
      <c r="D7" s="340">
        <f t="shared" ref="D7:D10" si="0">E7-C7</f>
        <v>2859860</v>
      </c>
      <c r="E7" s="340">
        <v>20725463</v>
      </c>
      <c r="F7" s="340">
        <v>11966505</v>
      </c>
      <c r="G7" s="340">
        <f t="shared" ref="G7:G10" si="1">K7-C7</f>
        <v>2002000</v>
      </c>
      <c r="H7" s="340">
        <f>I7-G7</f>
        <v>407000</v>
      </c>
      <c r="I7" s="340">
        <v>2409000</v>
      </c>
      <c r="J7" s="340">
        <v>881026</v>
      </c>
      <c r="K7" s="105">
        <f>'1. Bevételek'!M31</f>
        <v>19867603</v>
      </c>
      <c r="L7" s="359" t="s">
        <v>103</v>
      </c>
      <c r="M7" s="389">
        <f>'2. Kiadások'!E8</f>
        <v>8843520</v>
      </c>
      <c r="N7" s="413">
        <f t="shared" ref="N7:N14" si="2">O7-M7</f>
        <v>-38571</v>
      </c>
      <c r="O7" s="378">
        <v>8804949</v>
      </c>
      <c r="P7" s="378">
        <v>3116426</v>
      </c>
      <c r="Q7" s="378">
        <f t="shared" ref="Q7:Q11" si="3">U7-M7</f>
        <v>14696450</v>
      </c>
      <c r="R7" s="413">
        <f t="shared" ref="R7:R15" si="4">S7-Q7</f>
        <v>-299601</v>
      </c>
      <c r="S7" s="378">
        <v>14396849</v>
      </c>
      <c r="T7" s="378">
        <v>7531600</v>
      </c>
      <c r="U7" s="106">
        <f>'2. Kiadások'!M8</f>
        <v>23539970</v>
      </c>
      <c r="V7" s="527"/>
    </row>
    <row r="8" spans="1:22" ht="12.95" customHeight="1" x14ac:dyDescent="0.2">
      <c r="A8" s="187" t="s">
        <v>39</v>
      </c>
      <c r="B8" s="359" t="s">
        <v>104</v>
      </c>
      <c r="C8" s="104"/>
      <c r="D8" s="340">
        <f t="shared" si="0"/>
        <v>0</v>
      </c>
      <c r="E8" s="340"/>
      <c r="F8" s="340"/>
      <c r="G8" s="340">
        <f t="shared" si="1"/>
        <v>0</v>
      </c>
      <c r="H8" s="340"/>
      <c r="I8" s="340"/>
      <c r="J8" s="340"/>
      <c r="K8" s="105"/>
      <c r="L8" s="359" t="s">
        <v>33</v>
      </c>
      <c r="M8" s="389">
        <f>'2. Kiadások'!E14</f>
        <v>104957017</v>
      </c>
      <c r="N8" s="413">
        <f t="shared" si="2"/>
        <v>1121993</v>
      </c>
      <c r="O8" s="378">
        <v>106079010</v>
      </c>
      <c r="P8" s="378">
        <v>29938121</v>
      </c>
      <c r="Q8" s="378">
        <f t="shared" si="3"/>
        <v>10020160</v>
      </c>
      <c r="R8" s="413">
        <f t="shared" si="4"/>
        <v>407000</v>
      </c>
      <c r="S8" s="378">
        <v>10427160</v>
      </c>
      <c r="T8" s="378">
        <v>4489950</v>
      </c>
      <c r="U8" s="106">
        <f>'2. Kiadások'!M14</f>
        <v>114977177</v>
      </c>
      <c r="V8" s="527"/>
    </row>
    <row r="9" spans="1:22" ht="12.95" customHeight="1" x14ac:dyDescent="0.2">
      <c r="A9" s="187" t="s">
        <v>40</v>
      </c>
      <c r="B9" s="107" t="s">
        <v>205</v>
      </c>
      <c r="C9" s="104">
        <f>'1. Bevételek'!E9</f>
        <v>282993159</v>
      </c>
      <c r="D9" s="340">
        <f t="shared" si="0"/>
        <v>25386491</v>
      </c>
      <c r="E9" s="340">
        <v>308379650</v>
      </c>
      <c r="F9" s="340">
        <v>161146650</v>
      </c>
      <c r="G9" s="340">
        <f t="shared" si="1"/>
        <v>0</v>
      </c>
      <c r="H9" s="340"/>
      <c r="I9" s="340"/>
      <c r="J9" s="340"/>
      <c r="K9" s="105">
        <f>'1. Bevételek'!M9</f>
        <v>282993159</v>
      </c>
      <c r="L9" s="359" t="s">
        <v>105</v>
      </c>
      <c r="M9" s="389">
        <f>'2. Kiadások'!E15</f>
        <v>1400000</v>
      </c>
      <c r="N9" s="413">
        <f t="shared" si="2"/>
        <v>0</v>
      </c>
      <c r="O9" s="378">
        <v>1400000</v>
      </c>
      <c r="P9" s="378">
        <v>358725</v>
      </c>
      <c r="Q9" s="378">
        <f t="shared" si="3"/>
        <v>0</v>
      </c>
      <c r="R9" s="413">
        <f t="shared" si="4"/>
        <v>0</v>
      </c>
      <c r="S9" s="378"/>
      <c r="T9" s="378"/>
      <c r="U9" s="106">
        <f>'2. Kiadások'!M15</f>
        <v>1400000</v>
      </c>
      <c r="V9" s="527"/>
    </row>
    <row r="10" spans="1:22" ht="12.95" customHeight="1" x14ac:dyDescent="0.2">
      <c r="A10" s="187" t="s">
        <v>41</v>
      </c>
      <c r="B10" s="359" t="s">
        <v>106</v>
      </c>
      <c r="C10" s="104">
        <f>'1. Bevételek'!E14</f>
        <v>52929148</v>
      </c>
      <c r="D10" s="340">
        <f t="shared" si="0"/>
        <v>1762500</v>
      </c>
      <c r="E10" s="340">
        <v>54691648</v>
      </c>
      <c r="F10" s="340">
        <v>18464713</v>
      </c>
      <c r="G10" s="340">
        <f t="shared" si="1"/>
        <v>0</v>
      </c>
      <c r="H10" s="340"/>
      <c r="I10" s="340"/>
      <c r="J10" s="340"/>
      <c r="K10" s="105">
        <f>'1. Bevételek'!M14</f>
        <v>52929148</v>
      </c>
      <c r="L10" s="359" t="s">
        <v>107</v>
      </c>
      <c r="M10" s="389">
        <f>'2. Kiadások'!E19</f>
        <v>280992978</v>
      </c>
      <c r="N10" s="413">
        <f t="shared" si="2"/>
        <v>75000</v>
      </c>
      <c r="O10" s="378">
        <v>281067978</v>
      </c>
      <c r="P10" s="378">
        <v>130226792</v>
      </c>
      <c r="Q10" s="378">
        <f t="shared" si="3"/>
        <v>941822</v>
      </c>
      <c r="R10" s="413">
        <f t="shared" si="4"/>
        <v>0</v>
      </c>
      <c r="S10" s="378">
        <v>941822</v>
      </c>
      <c r="T10" s="378">
        <v>0</v>
      </c>
      <c r="U10" s="106">
        <f>'2. Kiadások'!M19</f>
        <v>281934800</v>
      </c>
      <c r="V10" s="527"/>
    </row>
    <row r="11" spans="1:22" ht="12.95" customHeight="1" x14ac:dyDescent="0.2">
      <c r="A11" s="187" t="s">
        <v>46</v>
      </c>
      <c r="B11" s="359" t="s">
        <v>108</v>
      </c>
      <c r="C11" s="104"/>
      <c r="D11" s="343"/>
      <c r="E11" s="343"/>
      <c r="F11" s="343"/>
      <c r="G11" s="343"/>
      <c r="H11" s="343"/>
      <c r="I11" s="343"/>
      <c r="J11" s="343"/>
      <c r="K11" s="108"/>
      <c r="L11" s="359" t="s">
        <v>425</v>
      </c>
      <c r="M11" s="389">
        <f>'2. Kiadások'!E20</f>
        <v>5288426</v>
      </c>
      <c r="N11" s="413">
        <f t="shared" si="2"/>
        <v>8518220</v>
      </c>
      <c r="O11" s="378">
        <v>13806646</v>
      </c>
      <c r="P11" s="378"/>
      <c r="Q11" s="378">
        <f t="shared" si="3"/>
        <v>0</v>
      </c>
      <c r="R11" s="413">
        <f t="shared" si="4"/>
        <v>0</v>
      </c>
      <c r="S11" s="378"/>
      <c r="T11" s="378"/>
      <c r="U11" s="106">
        <f>'2. Kiadások'!M20</f>
        <v>5288426</v>
      </c>
      <c r="V11" s="527"/>
    </row>
    <row r="12" spans="1:22" ht="12.95" customHeight="1" x14ac:dyDescent="0.2">
      <c r="A12" s="187" t="s">
        <v>48</v>
      </c>
      <c r="B12" s="359" t="s">
        <v>109</v>
      </c>
      <c r="C12" s="104"/>
      <c r="D12" s="341"/>
      <c r="E12" s="341"/>
      <c r="F12" s="341"/>
      <c r="G12" s="341"/>
      <c r="H12" s="341"/>
      <c r="I12" s="341"/>
      <c r="J12" s="341"/>
      <c r="K12" s="105"/>
      <c r="L12" s="359" t="s">
        <v>13</v>
      </c>
      <c r="M12" s="389"/>
      <c r="N12" s="413">
        <f t="shared" si="2"/>
        <v>0</v>
      </c>
      <c r="O12" s="378"/>
      <c r="P12" s="378"/>
      <c r="Q12" s="378"/>
      <c r="R12" s="413">
        <f t="shared" si="4"/>
        <v>0</v>
      </c>
      <c r="S12" s="378"/>
      <c r="T12" s="378"/>
      <c r="U12" s="106"/>
      <c r="V12" s="527"/>
    </row>
    <row r="13" spans="1:22" ht="12.95" customHeight="1" x14ac:dyDescent="0.2">
      <c r="A13" s="187" t="s">
        <v>49</v>
      </c>
      <c r="B13" s="359" t="s">
        <v>110</v>
      </c>
      <c r="C13" s="104"/>
      <c r="D13" s="341"/>
      <c r="E13" s="341"/>
      <c r="F13" s="341"/>
      <c r="G13" s="341"/>
      <c r="H13" s="341"/>
      <c r="I13" s="341"/>
      <c r="J13" s="341"/>
      <c r="K13" s="105"/>
      <c r="L13" s="360" t="s">
        <v>290</v>
      </c>
      <c r="M13" s="390"/>
      <c r="N13" s="413">
        <f t="shared" si="2"/>
        <v>0</v>
      </c>
      <c r="O13" s="224"/>
      <c r="P13" s="224"/>
      <c r="Q13" s="224"/>
      <c r="R13" s="413">
        <f t="shared" si="4"/>
        <v>0</v>
      </c>
      <c r="S13" s="224"/>
      <c r="T13" s="224"/>
      <c r="U13" s="106"/>
      <c r="V13" s="527"/>
    </row>
    <row r="14" spans="1:22" ht="12.95" customHeight="1" x14ac:dyDescent="0.2">
      <c r="A14" s="187" t="s">
        <v>50</v>
      </c>
      <c r="B14" s="110" t="s">
        <v>111</v>
      </c>
      <c r="C14" s="372"/>
      <c r="D14" s="354"/>
      <c r="E14" s="354"/>
      <c r="F14" s="354"/>
      <c r="G14" s="110"/>
      <c r="H14" s="110"/>
      <c r="I14" s="110"/>
      <c r="J14" s="110"/>
      <c r="K14" s="108"/>
      <c r="L14" s="360" t="s">
        <v>277</v>
      </c>
      <c r="M14" s="390">
        <f>'2. Kiadások'!E16</f>
        <v>5744100</v>
      </c>
      <c r="N14" s="413">
        <f t="shared" si="2"/>
        <v>4350819</v>
      </c>
      <c r="O14" s="224">
        <v>10094919</v>
      </c>
      <c r="P14" s="224">
        <v>10094919</v>
      </c>
      <c r="Q14" s="378">
        <f t="shared" ref="Q14" si="5">U14-M14</f>
        <v>0</v>
      </c>
      <c r="R14" s="413">
        <f t="shared" si="4"/>
        <v>0</v>
      </c>
      <c r="S14" s="378"/>
      <c r="T14" s="378"/>
      <c r="U14" s="106">
        <f>'2. Kiadások'!M16</f>
        <v>5744100</v>
      </c>
      <c r="V14" s="527"/>
    </row>
    <row r="15" spans="1:22" ht="12.95" customHeight="1" x14ac:dyDescent="0.2">
      <c r="A15" s="187" t="s">
        <v>51</v>
      </c>
      <c r="B15" s="360" t="s">
        <v>290</v>
      </c>
      <c r="C15" s="109"/>
      <c r="D15" s="344"/>
      <c r="E15" s="344"/>
      <c r="F15" s="344"/>
      <c r="G15" s="344"/>
      <c r="H15" s="344"/>
      <c r="I15" s="344"/>
      <c r="J15" s="344"/>
      <c r="K15" s="105"/>
      <c r="L15" s="360"/>
      <c r="M15" s="390"/>
      <c r="N15" s="224"/>
      <c r="O15" s="224"/>
      <c r="P15" s="224"/>
      <c r="Q15" s="224"/>
      <c r="R15" s="413">
        <f t="shared" si="4"/>
        <v>0</v>
      </c>
      <c r="S15" s="224"/>
      <c r="T15" s="224"/>
      <c r="U15" s="106"/>
      <c r="V15" s="527"/>
    </row>
    <row r="16" spans="1:22" ht="12.95" customHeight="1" x14ac:dyDescent="0.2">
      <c r="A16" s="187" t="s">
        <v>23</v>
      </c>
      <c r="B16" s="360"/>
      <c r="C16" s="109"/>
      <c r="D16" s="344"/>
      <c r="E16" s="344"/>
      <c r="F16" s="344"/>
      <c r="G16" s="344"/>
      <c r="H16" s="344"/>
      <c r="I16" s="344"/>
      <c r="J16" s="344"/>
      <c r="K16" s="105"/>
      <c r="L16" s="360"/>
      <c r="M16" s="390"/>
      <c r="N16" s="224"/>
      <c r="O16" s="224"/>
      <c r="P16" s="224"/>
      <c r="Q16" s="224"/>
      <c r="R16" s="224"/>
      <c r="S16" s="224"/>
      <c r="T16" s="224"/>
      <c r="U16" s="106"/>
      <c r="V16" s="527"/>
    </row>
    <row r="17" spans="1:22" ht="12.95" customHeight="1" thickBot="1" x14ac:dyDescent="0.25">
      <c r="A17" s="187" t="s">
        <v>24</v>
      </c>
      <c r="B17" s="361"/>
      <c r="C17" s="374"/>
      <c r="D17" s="345"/>
      <c r="E17" s="345"/>
      <c r="F17" s="345"/>
      <c r="G17" s="345"/>
      <c r="H17" s="345"/>
      <c r="I17" s="345"/>
      <c r="J17" s="345"/>
      <c r="K17" s="111"/>
      <c r="L17" s="360"/>
      <c r="M17" s="390"/>
      <c r="N17" s="224"/>
      <c r="O17" s="224"/>
      <c r="P17" s="224"/>
      <c r="Q17" s="224"/>
      <c r="R17" s="224"/>
      <c r="S17" s="224"/>
      <c r="T17" s="224"/>
      <c r="U17" s="112"/>
      <c r="V17" s="527"/>
    </row>
    <row r="18" spans="1:22" ht="15.95" customHeight="1" thickBot="1" x14ac:dyDescent="0.25">
      <c r="A18" s="113" t="s">
        <v>28</v>
      </c>
      <c r="B18" s="362" t="s">
        <v>112</v>
      </c>
      <c r="C18" s="370">
        <f>+C6+C7+C8+C9+C10+C12+C13+C14+C15+C16+C17</f>
        <v>534891910</v>
      </c>
      <c r="D18" s="370">
        <f t="shared" ref="D18:F18" si="6">+D6+D7+D8+D9+D10+D12+D13+D14+D15+D16+D17</f>
        <v>17134846</v>
      </c>
      <c r="E18" s="370">
        <f t="shared" si="6"/>
        <v>552026756</v>
      </c>
      <c r="F18" s="370">
        <f t="shared" si="6"/>
        <v>256648057</v>
      </c>
      <c r="G18" s="367">
        <f>+G6+G7+G8+G9+G10+G12+G13+G14+G15+G16+G17</f>
        <v>2002000</v>
      </c>
      <c r="H18" s="367">
        <f t="shared" ref="H18:J18" si="7">+H6+H7+H8+H9+H10+H12+H13+H14+H15+H16+H17</f>
        <v>407000</v>
      </c>
      <c r="I18" s="367">
        <f t="shared" si="7"/>
        <v>2409000</v>
      </c>
      <c r="J18" s="367">
        <f t="shared" si="7"/>
        <v>881026</v>
      </c>
      <c r="K18" s="115">
        <f>+K6+K7+K8+K9+K10+K12+K13+K14+K15+K16+K17</f>
        <v>536893910</v>
      </c>
      <c r="L18" s="362" t="s">
        <v>113</v>
      </c>
      <c r="M18" s="391">
        <f>SUM(M6:M17)</f>
        <v>458813173</v>
      </c>
      <c r="N18" s="391">
        <f t="shared" ref="N18:P18" si="8">SUM(N6:N17)</f>
        <v>15771832</v>
      </c>
      <c r="O18" s="391">
        <f t="shared" si="8"/>
        <v>474585005</v>
      </c>
      <c r="P18" s="391">
        <f t="shared" si="8"/>
        <v>194994372</v>
      </c>
      <c r="Q18" s="454">
        <f>SUM(Q6:Q17)</f>
        <v>108468736</v>
      </c>
      <c r="R18" s="454">
        <f t="shared" ref="R18:T18" si="9">SUM(R6:R17)</f>
        <v>407000</v>
      </c>
      <c r="S18" s="454">
        <f t="shared" si="9"/>
        <v>108875736</v>
      </c>
      <c r="T18" s="454">
        <f t="shared" si="9"/>
        <v>52582008</v>
      </c>
      <c r="U18" s="116">
        <f>SUM(U6:U17)</f>
        <v>567281909</v>
      </c>
      <c r="V18" s="527"/>
    </row>
    <row r="19" spans="1:22" ht="12.95" customHeight="1" x14ac:dyDescent="0.2">
      <c r="A19" s="117" t="s">
        <v>25</v>
      </c>
      <c r="B19" s="363" t="s">
        <v>114</v>
      </c>
      <c r="C19" s="375">
        <f>+C20+C21+C22+C23</f>
        <v>40765904</v>
      </c>
      <c r="D19" s="375">
        <f t="shared" ref="D19:F19" si="10">+D20+D21+D22+D23</f>
        <v>0</v>
      </c>
      <c r="E19" s="375">
        <f t="shared" si="10"/>
        <v>40765904</v>
      </c>
      <c r="F19" s="375">
        <f t="shared" si="10"/>
        <v>40765904</v>
      </c>
      <c r="G19" s="459">
        <f>+G20+G21+G22+G23</f>
        <v>106466736</v>
      </c>
      <c r="H19" s="460">
        <f t="shared" ref="H19:J19" si="11">+H20+H21+H22+H23</f>
        <v>0</v>
      </c>
      <c r="I19" s="460">
        <f t="shared" si="11"/>
        <v>106466736</v>
      </c>
      <c r="J19" s="460">
        <f t="shared" si="11"/>
        <v>53614975</v>
      </c>
      <c r="K19" s="181">
        <f>+K20+K21+K22+K23</f>
        <v>147232640</v>
      </c>
      <c r="L19" s="364" t="s">
        <v>115</v>
      </c>
      <c r="M19" s="392"/>
      <c r="N19" s="354"/>
      <c r="O19" s="354"/>
      <c r="P19" s="354"/>
      <c r="Q19" s="381"/>
      <c r="R19" s="450"/>
      <c r="S19" s="450"/>
      <c r="T19" s="450"/>
      <c r="U19" s="379"/>
      <c r="V19" s="527"/>
    </row>
    <row r="20" spans="1:22" ht="12.95" customHeight="1" x14ac:dyDescent="0.2">
      <c r="A20" s="120" t="s">
        <v>54</v>
      </c>
      <c r="B20" s="364" t="s">
        <v>116</v>
      </c>
      <c r="C20" s="119">
        <f>K20-G20</f>
        <v>40765904</v>
      </c>
      <c r="D20" s="340">
        <f t="shared" ref="D20" si="12">E20-C20</f>
        <v>0</v>
      </c>
      <c r="E20" s="435">
        <v>40765904</v>
      </c>
      <c r="F20" s="435">
        <v>40765904</v>
      </c>
      <c r="G20" s="378">
        <f>'1. Bevételek'!I43</f>
        <v>941822</v>
      </c>
      <c r="H20" s="341">
        <f>I20-G20</f>
        <v>0</v>
      </c>
      <c r="I20" s="341">
        <v>941822</v>
      </c>
      <c r="J20" s="341">
        <v>941822</v>
      </c>
      <c r="K20" s="121">
        <v>41707726</v>
      </c>
      <c r="L20" s="364" t="s">
        <v>117</v>
      </c>
      <c r="M20" s="393"/>
      <c r="N20" s="355"/>
      <c r="O20" s="355"/>
      <c r="P20" s="355"/>
      <c r="Q20" s="382"/>
      <c r="R20" s="451"/>
      <c r="S20" s="451"/>
      <c r="T20" s="451"/>
      <c r="U20" s="380"/>
      <c r="V20" s="527"/>
    </row>
    <row r="21" spans="1:22" ht="12.95" customHeight="1" x14ac:dyDescent="0.2">
      <c r="A21" s="120" t="s">
        <v>65</v>
      </c>
      <c r="B21" s="364" t="s">
        <v>118</v>
      </c>
      <c r="C21" s="119"/>
      <c r="D21" s="348"/>
      <c r="E21" s="348"/>
      <c r="F21" s="348"/>
      <c r="G21" s="348"/>
      <c r="H21" s="348"/>
      <c r="I21" s="348"/>
      <c r="J21" s="348"/>
      <c r="K21" s="121"/>
      <c r="L21" s="364" t="s">
        <v>119</v>
      </c>
      <c r="M21" s="393"/>
      <c r="N21" s="355"/>
      <c r="O21" s="355"/>
      <c r="P21" s="355"/>
      <c r="Q21" s="382"/>
      <c r="R21" s="451"/>
      <c r="S21" s="451"/>
      <c r="T21" s="451"/>
      <c r="U21" s="380"/>
      <c r="V21" s="527"/>
    </row>
    <row r="22" spans="1:22" ht="12.95" customHeight="1" x14ac:dyDescent="0.2">
      <c r="A22" s="120" t="s">
        <v>26</v>
      </c>
      <c r="B22" s="364" t="s">
        <v>214</v>
      </c>
      <c r="C22" s="119"/>
      <c r="D22" s="348"/>
      <c r="E22" s="348"/>
      <c r="F22" s="348"/>
      <c r="G22" s="348"/>
      <c r="H22" s="348"/>
      <c r="I22" s="348"/>
      <c r="J22" s="348"/>
      <c r="K22" s="286">
        <v>0</v>
      </c>
      <c r="L22" s="364" t="s">
        <v>120</v>
      </c>
      <c r="M22" s="393"/>
      <c r="N22" s="355"/>
      <c r="O22" s="355"/>
      <c r="P22" s="355"/>
      <c r="Q22" s="382"/>
      <c r="R22" s="451"/>
      <c r="S22" s="451"/>
      <c r="T22" s="451"/>
      <c r="U22" s="380"/>
      <c r="V22" s="527"/>
    </row>
    <row r="23" spans="1:22" ht="12.95" customHeight="1" x14ac:dyDescent="0.2">
      <c r="A23" s="120" t="s">
        <v>66</v>
      </c>
      <c r="B23" s="364" t="s">
        <v>121</v>
      </c>
      <c r="C23" s="119">
        <f>'1. Bevételek'!E45</f>
        <v>0</v>
      </c>
      <c r="D23" s="435"/>
      <c r="E23" s="435"/>
      <c r="F23" s="435"/>
      <c r="G23" s="340">
        <f t="shared" ref="G23" si="13">K23-C23</f>
        <v>105524914</v>
      </c>
      <c r="H23" s="340">
        <f>I23-G23</f>
        <v>0</v>
      </c>
      <c r="I23" s="340">
        <v>105524914</v>
      </c>
      <c r="J23" s="340">
        <v>52673153</v>
      </c>
      <c r="K23" s="121">
        <f>'1. Bevételek'!I45</f>
        <v>105524914</v>
      </c>
      <c r="L23" s="363" t="s">
        <v>122</v>
      </c>
      <c r="M23" s="392"/>
      <c r="N23" s="354"/>
      <c r="O23" s="354"/>
      <c r="P23" s="354"/>
      <c r="Q23" s="383"/>
      <c r="R23" s="450"/>
      <c r="S23" s="450"/>
      <c r="T23" s="450"/>
      <c r="U23" s="380"/>
      <c r="V23" s="527"/>
    </row>
    <row r="24" spans="1:22" ht="12.95" customHeight="1" x14ac:dyDescent="0.2">
      <c r="A24" s="120" t="s">
        <v>52</v>
      </c>
      <c r="B24" s="364" t="s">
        <v>123</v>
      </c>
      <c r="C24" s="376">
        <f>+C25+C26</f>
        <v>0</v>
      </c>
      <c r="D24" s="368"/>
      <c r="E24" s="368"/>
      <c r="F24" s="368"/>
      <c r="G24" s="368">
        <f>+G25+G26</f>
        <v>0</v>
      </c>
      <c r="H24" s="368"/>
      <c r="I24" s="368"/>
      <c r="J24" s="368"/>
      <c r="K24" s="123">
        <f>+K25+K26</f>
        <v>0</v>
      </c>
      <c r="L24" s="364" t="s">
        <v>124</v>
      </c>
      <c r="M24" s="393"/>
      <c r="N24" s="355"/>
      <c r="O24" s="355"/>
      <c r="P24" s="355"/>
      <c r="Q24" s="382"/>
      <c r="R24" s="451"/>
      <c r="S24" s="451"/>
      <c r="T24" s="451"/>
      <c r="U24" s="380"/>
      <c r="V24" s="527"/>
    </row>
    <row r="25" spans="1:22" ht="12.95" customHeight="1" x14ac:dyDescent="0.2">
      <c r="A25" s="117" t="s">
        <v>80</v>
      </c>
      <c r="B25" s="363" t="s">
        <v>125</v>
      </c>
      <c r="C25" s="119"/>
      <c r="D25" s="347"/>
      <c r="E25" s="347"/>
      <c r="F25" s="347"/>
      <c r="G25" s="347"/>
      <c r="H25" s="347"/>
      <c r="I25" s="347"/>
      <c r="J25" s="347"/>
      <c r="K25" s="124"/>
      <c r="L25" s="358" t="s">
        <v>126</v>
      </c>
      <c r="M25" s="394">
        <f>'2. Kiadások'!E29</f>
        <v>105524914</v>
      </c>
      <c r="N25" s="343">
        <f>O25-M25</f>
        <v>0</v>
      </c>
      <c r="O25" s="342">
        <v>105524914</v>
      </c>
      <c r="P25" s="342">
        <v>52673153</v>
      </c>
      <c r="Q25" s="384">
        <f>U25-M25</f>
        <v>0</v>
      </c>
      <c r="R25" s="452"/>
      <c r="S25" s="452"/>
      <c r="T25" s="452"/>
      <c r="U25" s="379">
        <f>'2. Kiadások'!M29</f>
        <v>105524914</v>
      </c>
      <c r="V25" s="527"/>
    </row>
    <row r="26" spans="1:22" ht="12.95" customHeight="1" thickBot="1" x14ac:dyDescent="0.25">
      <c r="A26" s="120" t="s">
        <v>127</v>
      </c>
      <c r="B26" s="364" t="s">
        <v>128</v>
      </c>
      <c r="C26" s="377"/>
      <c r="D26" s="436"/>
      <c r="E26" s="436"/>
      <c r="F26" s="436"/>
      <c r="G26" s="348"/>
      <c r="H26" s="348"/>
      <c r="I26" s="348"/>
      <c r="J26" s="348"/>
      <c r="K26" s="121"/>
      <c r="L26" s="360" t="s">
        <v>206</v>
      </c>
      <c r="M26" s="395">
        <f>'2. Kiadások'!E28</f>
        <v>11319727</v>
      </c>
      <c r="N26" s="458">
        <f>O26-M26</f>
        <v>0</v>
      </c>
      <c r="O26" s="352">
        <v>11319727</v>
      </c>
      <c r="P26" s="352">
        <v>11319727</v>
      </c>
      <c r="Q26" s="385">
        <f>U26-M26</f>
        <v>0</v>
      </c>
      <c r="R26" s="453"/>
      <c r="S26" s="453"/>
      <c r="T26" s="453"/>
      <c r="U26" s="380">
        <f>'2. Kiadások'!M28</f>
        <v>11319727</v>
      </c>
      <c r="V26" s="527"/>
    </row>
    <row r="27" spans="1:22" ht="15.95" customHeight="1" thickBot="1" x14ac:dyDescent="0.25">
      <c r="A27" s="113" t="s">
        <v>129</v>
      </c>
      <c r="B27" s="362" t="s">
        <v>130</v>
      </c>
      <c r="C27" s="370">
        <f>+C19+C24</f>
        <v>40765904</v>
      </c>
      <c r="D27" s="370">
        <f t="shared" ref="D27:F27" si="14">+D19+D24</f>
        <v>0</v>
      </c>
      <c r="E27" s="370">
        <f t="shared" si="14"/>
        <v>40765904</v>
      </c>
      <c r="F27" s="370">
        <f t="shared" si="14"/>
        <v>40765904</v>
      </c>
      <c r="G27" s="367">
        <f>+G19+G24</f>
        <v>106466736</v>
      </c>
      <c r="H27" s="367">
        <f t="shared" ref="H27:J27" si="15">+H19+H24</f>
        <v>0</v>
      </c>
      <c r="I27" s="367">
        <f t="shared" si="15"/>
        <v>106466736</v>
      </c>
      <c r="J27" s="367">
        <f t="shared" si="15"/>
        <v>53614975</v>
      </c>
      <c r="K27" s="115">
        <f>+K19+K24</f>
        <v>147232640</v>
      </c>
      <c r="L27" s="362" t="s">
        <v>131</v>
      </c>
      <c r="M27" s="396">
        <f>SUM(M19:M26)</f>
        <v>116844641</v>
      </c>
      <c r="N27" s="396">
        <f t="shared" ref="N27:P27" si="16">SUM(N19:N26)</f>
        <v>0</v>
      </c>
      <c r="O27" s="396">
        <f t="shared" si="16"/>
        <v>116844641</v>
      </c>
      <c r="P27" s="396">
        <f t="shared" si="16"/>
        <v>63992880</v>
      </c>
      <c r="Q27" s="116">
        <f>SUM(Q19:Q26)</f>
        <v>0</v>
      </c>
      <c r="R27" s="116"/>
      <c r="S27" s="116"/>
      <c r="T27" s="116"/>
      <c r="U27" s="116">
        <f>SUM(U19:U26)</f>
        <v>116844641</v>
      </c>
      <c r="V27" s="527"/>
    </row>
    <row r="28" spans="1:22" ht="18" customHeight="1" thickBot="1" x14ac:dyDescent="0.25">
      <c r="A28" s="113" t="s">
        <v>132</v>
      </c>
      <c r="B28" s="365" t="s">
        <v>133</v>
      </c>
      <c r="C28" s="370">
        <f>+C18+C27</f>
        <v>575657814</v>
      </c>
      <c r="D28" s="370">
        <f t="shared" ref="D28:F28" si="17">+D18+D27</f>
        <v>17134846</v>
      </c>
      <c r="E28" s="370">
        <f t="shared" si="17"/>
        <v>592792660</v>
      </c>
      <c r="F28" s="370">
        <f t="shared" si="17"/>
        <v>297413961</v>
      </c>
      <c r="G28" s="367">
        <f>+G18+G27</f>
        <v>108468736</v>
      </c>
      <c r="H28" s="367">
        <f t="shared" ref="H28:J28" si="18">+H18+H27</f>
        <v>407000</v>
      </c>
      <c r="I28" s="367">
        <f t="shared" si="18"/>
        <v>108875736</v>
      </c>
      <c r="J28" s="367">
        <f t="shared" si="18"/>
        <v>54496001</v>
      </c>
      <c r="K28" s="115">
        <f>+K18+K27</f>
        <v>684126550</v>
      </c>
      <c r="L28" s="365" t="s">
        <v>134</v>
      </c>
      <c r="M28" s="397">
        <f>+M18+M27</f>
        <v>575657814</v>
      </c>
      <c r="N28" s="397">
        <f t="shared" ref="N28:P28" si="19">+N18+N27</f>
        <v>15771832</v>
      </c>
      <c r="O28" s="397">
        <f t="shared" si="19"/>
        <v>591429646</v>
      </c>
      <c r="P28" s="397">
        <f t="shared" si="19"/>
        <v>258987252</v>
      </c>
      <c r="Q28" s="386">
        <f>+Q18+Q27</f>
        <v>108468736</v>
      </c>
      <c r="R28" s="397"/>
      <c r="S28" s="386"/>
      <c r="T28" s="397"/>
      <c r="U28" s="116">
        <f>+U18+U27</f>
        <v>684126550</v>
      </c>
      <c r="V28" s="527"/>
    </row>
    <row r="29" spans="1:22" ht="18" customHeight="1" thickTop="1" thickBot="1" x14ac:dyDescent="0.25">
      <c r="A29" s="113" t="s">
        <v>135</v>
      </c>
      <c r="B29" s="362" t="s">
        <v>136</v>
      </c>
      <c r="C29" s="371"/>
      <c r="D29" s="353"/>
      <c r="E29" s="353"/>
      <c r="F29" s="353"/>
      <c r="G29" s="346"/>
      <c r="H29" s="346"/>
      <c r="I29" s="346"/>
      <c r="J29" s="346"/>
      <c r="K29" s="126"/>
      <c r="L29" s="362" t="s">
        <v>137</v>
      </c>
      <c r="M29" s="387"/>
      <c r="N29" s="387"/>
      <c r="O29" s="387"/>
      <c r="P29" s="387"/>
      <c r="Q29" s="387"/>
      <c r="R29" s="387"/>
      <c r="S29" s="387"/>
      <c r="T29" s="387"/>
      <c r="U29" s="388"/>
      <c r="V29" s="527"/>
    </row>
    <row r="30" spans="1:22" ht="14.25" thickTop="1" thickBot="1" x14ac:dyDescent="0.25">
      <c r="A30" s="113" t="s">
        <v>138</v>
      </c>
      <c r="B30" s="366" t="s">
        <v>139</v>
      </c>
      <c r="C30" s="424">
        <f>+C28+C29</f>
        <v>575657814</v>
      </c>
      <c r="D30" s="424">
        <f t="shared" ref="D30:F30" si="20">+D28+D29</f>
        <v>17134846</v>
      </c>
      <c r="E30" s="424">
        <f t="shared" si="20"/>
        <v>592792660</v>
      </c>
      <c r="F30" s="424">
        <f t="shared" si="20"/>
        <v>297413961</v>
      </c>
      <c r="G30" s="129">
        <f>+G28+G29</f>
        <v>108468736</v>
      </c>
      <c r="H30" s="129">
        <f t="shared" ref="H30:J30" si="21">+H28+H29</f>
        <v>407000</v>
      </c>
      <c r="I30" s="129">
        <f t="shared" si="21"/>
        <v>108875736</v>
      </c>
      <c r="J30" s="129">
        <f t="shared" si="21"/>
        <v>54496001</v>
      </c>
      <c r="K30" s="129">
        <f>+K28+K29</f>
        <v>684126550</v>
      </c>
      <c r="L30" s="366" t="s">
        <v>140</v>
      </c>
      <c r="M30" s="425">
        <f>+M28+M29</f>
        <v>575657814</v>
      </c>
      <c r="N30" s="425">
        <f t="shared" ref="N30:P30" si="22">+N28+N29</f>
        <v>15771832</v>
      </c>
      <c r="O30" s="425">
        <f t="shared" si="22"/>
        <v>591429646</v>
      </c>
      <c r="P30" s="425">
        <f t="shared" si="22"/>
        <v>258987252</v>
      </c>
      <c r="Q30" s="129">
        <f>+Q28+Q29</f>
        <v>108468736</v>
      </c>
      <c r="R30" s="129"/>
      <c r="S30" s="129"/>
      <c r="T30" s="129"/>
      <c r="U30" s="129">
        <f>+U28+U29</f>
        <v>684126550</v>
      </c>
      <c r="V30" s="527"/>
    </row>
    <row r="31" spans="1:22" ht="13.5" thickBot="1" x14ac:dyDescent="0.25">
      <c r="A31" s="113" t="s">
        <v>141</v>
      </c>
      <c r="B31" s="366" t="s">
        <v>142</v>
      </c>
      <c r="C31" s="424" t="str">
        <f>IF(C18-M18&lt;0,M18-C18,"-")</f>
        <v>-</v>
      </c>
      <c r="D31" s="424"/>
      <c r="E31" s="424"/>
      <c r="F31" s="424"/>
      <c r="G31" s="424">
        <f>IF(G18-Q18&lt;0,Q18-G18,"-")</f>
        <v>106466736</v>
      </c>
      <c r="H31" s="424"/>
      <c r="I31" s="424"/>
      <c r="J31" s="424"/>
      <c r="K31" s="424">
        <f>IF(K18-U18&lt;0,U18-K18,"-")</f>
        <v>30387999</v>
      </c>
      <c r="L31" s="366" t="s">
        <v>143</v>
      </c>
      <c r="M31" s="426">
        <f>IF(M18-C18&lt;0,C18-M18,"-")</f>
        <v>76078737</v>
      </c>
      <c r="N31" s="426">
        <f t="shared" ref="N31:P31" si="23">IF(N18-D18&lt;0,D18-N18,"-")</f>
        <v>1363014</v>
      </c>
      <c r="O31" s="426">
        <f t="shared" si="23"/>
        <v>77441751</v>
      </c>
      <c r="P31" s="426">
        <f t="shared" si="23"/>
        <v>61653685</v>
      </c>
      <c r="Q31" s="426" t="str">
        <f t="shared" ref="Q31" si="24">IF(Q18-G18&lt;0,G18-Q18,"-")</f>
        <v>-</v>
      </c>
      <c r="R31" s="426"/>
      <c r="S31" s="426"/>
      <c r="T31" s="426"/>
      <c r="U31" s="426" t="str">
        <f>IF(U18-K18&lt;0,K18-U18,"-")</f>
        <v>-</v>
      </c>
      <c r="V31" s="527"/>
    </row>
    <row r="32" spans="1:22" ht="13.5" thickBot="1" x14ac:dyDescent="0.25">
      <c r="A32" s="113" t="s">
        <v>144</v>
      </c>
      <c r="B32" s="366" t="s">
        <v>145</v>
      </c>
      <c r="C32" s="129" t="str">
        <f>IF(C18+C19-M28&lt;0,M28-(C18+C19),"-")</f>
        <v>-</v>
      </c>
      <c r="D32" s="129"/>
      <c r="E32" s="129"/>
      <c r="F32" s="129"/>
      <c r="G32" s="129" t="str">
        <f>IF(G18+G19-Q28&lt;0,Q28-(G18+G19),"-")</f>
        <v>-</v>
      </c>
      <c r="H32" s="129"/>
      <c r="I32" s="129"/>
      <c r="J32" s="129"/>
      <c r="K32" s="129" t="str">
        <f>IF(K18+K19-U28&lt;0,U28-(K18+K19),"-")</f>
        <v>-</v>
      </c>
      <c r="L32" s="366" t="s">
        <v>146</v>
      </c>
      <c r="M32" s="426" t="str">
        <f>IF(M18+M19-V28&lt;0,V28-(M18+M19),"-")</f>
        <v>-</v>
      </c>
      <c r="N32" s="129"/>
      <c r="O32" s="129"/>
      <c r="P32" s="129"/>
      <c r="Q32" s="129" t="str">
        <f>IF(Q18+Q19-G28&lt;0,G28-(Q18+Q19),"-")</f>
        <v>-</v>
      </c>
      <c r="R32" s="129"/>
      <c r="S32" s="129"/>
      <c r="T32" s="129"/>
      <c r="U32" s="129" t="str">
        <f>IF(U18+U19-G28&lt;0,K28-(U18+U19),"-")</f>
        <v>-</v>
      </c>
      <c r="V32" s="527"/>
    </row>
  </sheetData>
  <mergeCells count="2">
    <mergeCell ref="V1:V32"/>
    <mergeCell ref="A3:A4"/>
  </mergeCells>
  <phoneticPr fontId="7" type="noConversion"/>
  <pageMargins left="0.25" right="0.25" top="0.75" bottom="0.75" header="0.3" footer="0.3"/>
  <pageSetup paperSize="9" scale="79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"/>
  <sheetViews>
    <sheetView topLeftCell="A7" workbookViewId="0">
      <selection activeCell="D43" sqref="D43"/>
    </sheetView>
  </sheetViews>
  <sheetFormatPr defaultRowHeight="12.75" x14ac:dyDescent="0.2"/>
  <cols>
    <col min="1" max="1" width="5.85546875" style="184" customWidth="1"/>
    <col min="2" max="2" width="44.42578125" style="185" customWidth="1"/>
    <col min="3" max="6" width="13.85546875" style="185" customWidth="1"/>
    <col min="7" max="7" width="12.5703125" style="185" bestFit="1" customWidth="1"/>
    <col min="8" max="8" width="14" style="196" customWidth="1"/>
    <col min="9" max="9" width="41.42578125" style="184" customWidth="1"/>
    <col min="10" max="13" width="13.42578125" style="184" customWidth="1"/>
    <col min="14" max="14" width="10" style="184" customWidth="1"/>
    <col min="15" max="15" width="13.140625" style="184" customWidth="1"/>
    <col min="16" max="16" width="4.140625" style="184" customWidth="1"/>
    <col min="17" max="17" width="11.7109375" style="184" bestFit="1" customWidth="1"/>
    <col min="18" max="16384" width="9.140625" style="184"/>
  </cols>
  <sheetData>
    <row r="1" spans="1:16" ht="15.75" x14ac:dyDescent="0.2">
      <c r="A1" s="182"/>
      <c r="B1" s="90" t="s">
        <v>382</v>
      </c>
      <c r="C1" s="90"/>
      <c r="D1" s="90"/>
      <c r="E1" s="90"/>
      <c r="F1" s="90"/>
      <c r="G1" s="90"/>
      <c r="H1" s="195"/>
      <c r="I1" s="183"/>
      <c r="J1" s="183"/>
      <c r="K1" s="183"/>
      <c r="L1" s="183"/>
      <c r="M1" s="183"/>
      <c r="N1" s="183"/>
      <c r="O1" s="183"/>
      <c r="P1" s="527"/>
    </row>
    <row r="2" spans="1:16" ht="14.25" thickBot="1" x14ac:dyDescent="0.25">
      <c r="O2" s="91" t="s">
        <v>216</v>
      </c>
      <c r="P2" s="527"/>
    </row>
    <row r="3" spans="1:16" ht="13.5" thickBot="1" x14ac:dyDescent="0.25">
      <c r="A3" s="530" t="s">
        <v>100</v>
      </c>
      <c r="B3" s="92" t="s">
        <v>101</v>
      </c>
      <c r="C3" s="337"/>
      <c r="D3" s="337"/>
      <c r="E3" s="337"/>
      <c r="F3" s="337"/>
      <c r="G3" s="337"/>
      <c r="H3" s="93"/>
      <c r="I3" s="92" t="s">
        <v>102</v>
      </c>
      <c r="J3" s="284"/>
      <c r="K3" s="284"/>
      <c r="L3" s="284"/>
      <c r="M3" s="284"/>
      <c r="N3" s="284"/>
      <c r="O3" s="284"/>
      <c r="P3" s="527"/>
    </row>
    <row r="4" spans="1:16" s="96" customFormat="1" ht="36.75" thickBot="1" x14ac:dyDescent="0.25">
      <c r="A4" s="531"/>
      <c r="B4" s="94" t="s">
        <v>36</v>
      </c>
      <c r="C4" s="369" t="s">
        <v>201</v>
      </c>
      <c r="D4" s="434" t="s">
        <v>426</v>
      </c>
      <c r="E4" s="434" t="s">
        <v>427</v>
      </c>
      <c r="F4" s="434" t="s">
        <v>428</v>
      </c>
      <c r="G4" s="461" t="s">
        <v>89</v>
      </c>
      <c r="H4" s="95" t="s">
        <v>416</v>
      </c>
      <c r="I4" s="94" t="s">
        <v>36</v>
      </c>
      <c r="J4" s="369" t="s">
        <v>201</v>
      </c>
      <c r="K4" s="434" t="s">
        <v>426</v>
      </c>
      <c r="L4" s="434" t="s">
        <v>427</v>
      </c>
      <c r="M4" s="434" t="s">
        <v>428</v>
      </c>
      <c r="N4" s="461" t="s">
        <v>89</v>
      </c>
      <c r="O4" s="95" t="s">
        <v>416</v>
      </c>
      <c r="P4" s="527"/>
    </row>
    <row r="5" spans="1:16" s="96" customFormat="1" ht="13.5" thickBot="1" x14ac:dyDescent="0.25">
      <c r="A5" s="97">
        <v>1</v>
      </c>
      <c r="B5" s="98">
        <v>2</v>
      </c>
      <c r="C5" s="339"/>
      <c r="D5" s="339"/>
      <c r="E5" s="339"/>
      <c r="F5" s="339"/>
      <c r="G5" s="339"/>
      <c r="H5" s="99">
        <v>3</v>
      </c>
      <c r="I5" s="98">
        <v>4</v>
      </c>
      <c r="J5" s="349"/>
      <c r="K5" s="349"/>
      <c r="L5" s="349"/>
      <c r="M5" s="349"/>
      <c r="N5" s="349"/>
      <c r="O5" s="100">
        <v>5</v>
      </c>
      <c r="P5" s="527"/>
    </row>
    <row r="6" spans="1:16" ht="12.95" customHeight="1" x14ac:dyDescent="0.2">
      <c r="A6" s="186" t="s">
        <v>37</v>
      </c>
      <c r="B6" s="102" t="s">
        <v>147</v>
      </c>
      <c r="C6" s="408">
        <f>'1. Bevételek'!E32</f>
        <v>2372880</v>
      </c>
      <c r="D6" s="340"/>
      <c r="E6" s="340">
        <v>2372880</v>
      </c>
      <c r="F6" s="340">
        <v>1186440</v>
      </c>
      <c r="G6" s="340">
        <f>H6-C6</f>
        <v>0</v>
      </c>
      <c r="H6" s="180">
        <f>'1. Bevételek'!M32</f>
        <v>2372880</v>
      </c>
      <c r="I6" s="102" t="s">
        <v>148</v>
      </c>
      <c r="J6" s="412">
        <f>'2. Kiadások'!E21</f>
        <v>804612646</v>
      </c>
      <c r="K6" s="350">
        <f>L6-J6</f>
        <v>274610</v>
      </c>
      <c r="L6" s="350">
        <v>804887256</v>
      </c>
      <c r="M6" s="350">
        <v>8237747</v>
      </c>
      <c r="N6" s="350">
        <f>O6-J6</f>
        <v>0</v>
      </c>
      <c r="O6" s="103">
        <f>'2. Kiadások'!M21</f>
        <v>804612646</v>
      </c>
      <c r="P6" s="527"/>
    </row>
    <row r="7" spans="1:16" ht="12.95" customHeight="1" x14ac:dyDescent="0.2">
      <c r="A7" s="186" t="s">
        <v>38</v>
      </c>
      <c r="B7" s="82" t="s">
        <v>149</v>
      </c>
      <c r="C7" s="409"/>
      <c r="D7" s="398"/>
      <c r="E7" s="398"/>
      <c r="F7" s="398"/>
      <c r="G7" s="398"/>
      <c r="H7" s="180"/>
      <c r="I7" s="102"/>
      <c r="J7" s="413"/>
      <c r="K7" s="350">
        <f t="shared" ref="K7:K18" si="0">L7-J7</f>
        <v>0</v>
      </c>
      <c r="L7" s="350"/>
      <c r="M7" s="350"/>
      <c r="N7" s="350"/>
      <c r="O7" s="103"/>
      <c r="P7" s="527"/>
    </row>
    <row r="8" spans="1:16" ht="25.5" customHeight="1" x14ac:dyDescent="0.2">
      <c r="A8" s="186" t="s">
        <v>39</v>
      </c>
      <c r="B8" s="104" t="s">
        <v>150</v>
      </c>
      <c r="C8" s="341"/>
      <c r="D8" s="341"/>
      <c r="E8" s="341"/>
      <c r="F8" s="341"/>
      <c r="G8" s="341"/>
      <c r="H8" s="105">
        <v>0</v>
      </c>
      <c r="I8" s="104" t="s">
        <v>151</v>
      </c>
      <c r="J8" s="378">
        <f>'2. Kiadások'!E22</f>
        <v>123033604</v>
      </c>
      <c r="K8" s="350">
        <f t="shared" si="0"/>
        <v>0</v>
      </c>
      <c r="L8" s="350">
        <v>123033604</v>
      </c>
      <c r="M8" s="350">
        <v>0</v>
      </c>
      <c r="N8" s="350">
        <f>O8-J8</f>
        <v>0</v>
      </c>
      <c r="O8" s="106">
        <f>'2. Kiadások'!M22</f>
        <v>123033604</v>
      </c>
      <c r="P8" s="527"/>
    </row>
    <row r="9" spans="1:16" ht="12.95" customHeight="1" x14ac:dyDescent="0.2">
      <c r="A9" s="186" t="s">
        <v>40</v>
      </c>
      <c r="B9" s="104" t="s">
        <v>152</v>
      </c>
      <c r="C9" s="341"/>
      <c r="D9" s="341"/>
      <c r="E9" s="341"/>
      <c r="F9" s="341"/>
      <c r="G9" s="341"/>
      <c r="H9" s="105"/>
      <c r="I9" s="104" t="s">
        <v>153</v>
      </c>
      <c r="J9" s="378"/>
      <c r="K9" s="350">
        <f t="shared" si="0"/>
        <v>0</v>
      </c>
      <c r="L9" s="343"/>
      <c r="M9" s="343"/>
      <c r="N9" s="343"/>
      <c r="O9" s="106">
        <v>0</v>
      </c>
      <c r="P9" s="527"/>
    </row>
    <row r="10" spans="1:16" ht="21.75" customHeight="1" x14ac:dyDescent="0.2">
      <c r="A10" s="186" t="s">
        <v>41</v>
      </c>
      <c r="B10" s="104" t="s">
        <v>154</v>
      </c>
      <c r="C10" s="341"/>
      <c r="D10" s="341"/>
      <c r="E10" s="341"/>
      <c r="F10" s="341"/>
      <c r="G10" s="341"/>
      <c r="H10" s="105"/>
      <c r="I10" s="104" t="s">
        <v>444</v>
      </c>
      <c r="J10" s="378"/>
      <c r="K10" s="350">
        <f t="shared" si="0"/>
        <v>1214532</v>
      </c>
      <c r="L10" s="343">
        <v>1214532</v>
      </c>
      <c r="M10" s="343">
        <v>1214532</v>
      </c>
      <c r="N10" s="343"/>
      <c r="O10" s="106">
        <v>0</v>
      </c>
      <c r="P10" s="527"/>
    </row>
    <row r="11" spans="1:16" ht="20.25" customHeight="1" x14ac:dyDescent="0.2">
      <c r="A11" s="186" t="s">
        <v>46</v>
      </c>
      <c r="B11" s="104" t="s">
        <v>155</v>
      </c>
      <c r="C11" s="341"/>
      <c r="D11" s="341"/>
      <c r="E11" s="341"/>
      <c r="F11" s="341"/>
      <c r="G11" s="341"/>
      <c r="H11" s="105"/>
      <c r="I11" s="104" t="s">
        <v>156</v>
      </c>
      <c r="J11" s="378"/>
      <c r="K11" s="350">
        <f t="shared" si="0"/>
        <v>0</v>
      </c>
      <c r="L11" s="343"/>
      <c r="M11" s="343"/>
      <c r="N11" s="343"/>
      <c r="O11" s="106">
        <v>0</v>
      </c>
      <c r="P11" s="527"/>
    </row>
    <row r="12" spans="1:16" ht="12.95" customHeight="1" x14ac:dyDescent="0.2">
      <c r="A12" s="186" t="s">
        <v>48</v>
      </c>
      <c r="B12" s="104" t="s">
        <v>157</v>
      </c>
      <c r="C12" s="341"/>
      <c r="D12" s="343"/>
      <c r="E12" s="343"/>
      <c r="F12" s="343"/>
      <c r="G12" s="343"/>
      <c r="H12" s="108"/>
      <c r="I12" s="130" t="s">
        <v>158</v>
      </c>
      <c r="J12" s="414"/>
      <c r="K12" s="350">
        <f t="shared" si="0"/>
        <v>0</v>
      </c>
      <c r="L12" s="403"/>
      <c r="M12" s="403"/>
      <c r="N12" s="403"/>
      <c r="O12" s="106"/>
      <c r="P12" s="527"/>
    </row>
    <row r="13" spans="1:16" ht="12.95" customHeight="1" x14ac:dyDescent="0.2">
      <c r="A13" s="186" t="s">
        <v>49</v>
      </c>
      <c r="B13" s="104" t="s">
        <v>159</v>
      </c>
      <c r="C13" s="341"/>
      <c r="D13" s="341"/>
      <c r="E13" s="341"/>
      <c r="F13" s="341"/>
      <c r="G13" s="341"/>
      <c r="H13" s="105"/>
      <c r="I13" s="130" t="s">
        <v>160</v>
      </c>
      <c r="J13" s="414"/>
      <c r="K13" s="350">
        <f t="shared" si="0"/>
        <v>0</v>
      </c>
      <c r="L13" s="403"/>
      <c r="M13" s="403"/>
      <c r="N13" s="403"/>
      <c r="O13" s="106"/>
      <c r="P13" s="527"/>
    </row>
    <row r="14" spans="1:16" ht="12.95" customHeight="1" x14ac:dyDescent="0.2">
      <c r="A14" s="186" t="s">
        <v>50</v>
      </c>
      <c r="B14" s="104" t="s">
        <v>161</v>
      </c>
      <c r="C14" s="341"/>
      <c r="D14" s="341">
        <f>E14-C14</f>
        <v>126128</v>
      </c>
      <c r="E14" s="341">
        <v>126128</v>
      </c>
      <c r="F14" s="341">
        <v>126128</v>
      </c>
      <c r="G14" s="341"/>
      <c r="H14" s="105"/>
      <c r="I14" s="131" t="s">
        <v>162</v>
      </c>
      <c r="J14" s="415"/>
      <c r="K14" s="350">
        <f t="shared" si="0"/>
        <v>0</v>
      </c>
      <c r="L14" s="404"/>
      <c r="M14" s="404"/>
      <c r="N14" s="404"/>
      <c r="O14" s="106"/>
      <c r="P14" s="527"/>
    </row>
    <row r="15" spans="1:16" ht="12.95" customHeight="1" x14ac:dyDescent="0.2">
      <c r="A15" s="186" t="s">
        <v>51</v>
      </c>
      <c r="B15" s="132" t="s">
        <v>163</v>
      </c>
      <c r="C15" s="410"/>
      <c r="D15" s="341">
        <f t="shared" ref="D15:D17" si="1">E15-C15</f>
        <v>0</v>
      </c>
      <c r="E15" s="399"/>
      <c r="F15" s="399"/>
      <c r="G15" s="399"/>
      <c r="H15" s="108"/>
      <c r="I15" s="130" t="s">
        <v>164</v>
      </c>
      <c r="J15" s="414"/>
      <c r="K15" s="350">
        <f t="shared" si="0"/>
        <v>0</v>
      </c>
      <c r="L15" s="403"/>
      <c r="M15" s="403"/>
      <c r="N15" s="403"/>
      <c r="O15" s="106"/>
      <c r="P15" s="527"/>
    </row>
    <row r="16" spans="1:16" ht="22.5" customHeight="1" x14ac:dyDescent="0.2">
      <c r="A16" s="186" t="s">
        <v>23</v>
      </c>
      <c r="B16" s="104" t="s">
        <v>165</v>
      </c>
      <c r="C16" s="341">
        <f>'1. Bevételek'!E35</f>
        <v>110732349</v>
      </c>
      <c r="D16" s="341">
        <f t="shared" si="1"/>
        <v>0</v>
      </c>
      <c r="E16" s="340">
        <v>110732349</v>
      </c>
      <c r="F16" s="340">
        <v>1183450</v>
      </c>
      <c r="G16" s="340">
        <f>H16-C16</f>
        <v>0</v>
      </c>
      <c r="H16" s="108">
        <f>'1. Bevételek'!M35</f>
        <v>110732349</v>
      </c>
      <c r="I16" s="130" t="s">
        <v>166</v>
      </c>
      <c r="J16" s="414"/>
      <c r="K16" s="350">
        <f t="shared" si="0"/>
        <v>0</v>
      </c>
      <c r="L16" s="403"/>
      <c r="M16" s="403"/>
      <c r="N16" s="403"/>
      <c r="O16" s="106"/>
      <c r="P16" s="527"/>
    </row>
    <row r="17" spans="1:16" ht="12.95" customHeight="1" x14ac:dyDescent="0.2">
      <c r="A17" s="186" t="s">
        <v>24</v>
      </c>
      <c r="B17" s="104" t="s">
        <v>167</v>
      </c>
      <c r="C17" s="341">
        <f>'1. Bevételek'!E34</f>
        <v>707620</v>
      </c>
      <c r="D17" s="341">
        <f t="shared" si="1"/>
        <v>0</v>
      </c>
      <c r="E17" s="341">
        <v>707620</v>
      </c>
      <c r="F17" s="340">
        <v>233850</v>
      </c>
      <c r="G17" s="340">
        <f>H17-C17</f>
        <v>0</v>
      </c>
      <c r="H17" s="106">
        <f>'1. Bevételek'!M34</f>
        <v>707620</v>
      </c>
      <c r="I17" s="104" t="s">
        <v>425</v>
      </c>
      <c r="J17" s="378"/>
      <c r="K17" s="350">
        <f t="shared" si="0"/>
        <v>0</v>
      </c>
      <c r="L17" s="343"/>
      <c r="M17" s="343"/>
      <c r="N17" s="343"/>
      <c r="O17" s="106">
        <v>0</v>
      </c>
      <c r="P17" s="527"/>
    </row>
    <row r="18" spans="1:16" ht="12.95" customHeight="1" thickBot="1" x14ac:dyDescent="0.25">
      <c r="A18" s="186" t="s">
        <v>28</v>
      </c>
      <c r="B18" s="133" t="s">
        <v>168</v>
      </c>
      <c r="C18" s="411"/>
      <c r="D18" s="342"/>
      <c r="E18" s="342"/>
      <c r="F18" s="342"/>
      <c r="G18" s="342"/>
      <c r="H18" s="134">
        <v>0</v>
      </c>
      <c r="I18" s="133" t="s">
        <v>13</v>
      </c>
      <c r="J18" s="416">
        <f>'2. Kiadások'!E24</f>
        <v>2000000</v>
      </c>
      <c r="K18" s="350">
        <f t="shared" si="0"/>
        <v>0</v>
      </c>
      <c r="L18" s="342">
        <v>2000000</v>
      </c>
      <c r="M18" s="342"/>
      <c r="N18" s="350">
        <f>O18-J18</f>
        <v>0</v>
      </c>
      <c r="O18" s="188">
        <f>'2. Kiadások'!M24</f>
        <v>2000000</v>
      </c>
      <c r="P18" s="527"/>
    </row>
    <row r="19" spans="1:16" ht="15.95" customHeight="1" thickBot="1" x14ac:dyDescent="0.25">
      <c r="A19" s="113" t="s">
        <v>28</v>
      </c>
      <c r="B19" s="114" t="s">
        <v>169</v>
      </c>
      <c r="C19" s="115">
        <f>C6+C7+C8+C9+C10+C11+C12+C13+C14+C16+C17+C18</f>
        <v>113812849</v>
      </c>
      <c r="D19" s="115">
        <f t="shared" ref="D19:F19" si="2">D6+D7+D8+D9+D10+D11+D12+D13+D14+D16+D17+D18</f>
        <v>126128</v>
      </c>
      <c r="E19" s="115">
        <f t="shared" si="2"/>
        <v>113938977</v>
      </c>
      <c r="F19" s="115">
        <f t="shared" si="2"/>
        <v>2729868</v>
      </c>
      <c r="G19" s="115">
        <f>G6+G7+G8+G9+G10+G11+G12+G13+G14+G16+G17+G18</f>
        <v>0</v>
      </c>
      <c r="H19" s="115">
        <f>H6+H7+H8+H9+H10+H11+H12+H13+H14+H16+H17+H18</f>
        <v>113812849</v>
      </c>
      <c r="I19" s="114" t="s">
        <v>11</v>
      </c>
      <c r="J19" s="116">
        <f>+J6+J8+J9+J17+J18+J10</f>
        <v>929646250</v>
      </c>
      <c r="K19" s="116">
        <f t="shared" ref="K19:M19" si="3">+K6+K8+K9+K17+K18+K10</f>
        <v>1489142</v>
      </c>
      <c r="L19" s="116">
        <f t="shared" si="3"/>
        <v>931135392</v>
      </c>
      <c r="M19" s="116">
        <f t="shared" si="3"/>
        <v>9452279</v>
      </c>
      <c r="N19" s="116">
        <f>+N6+N8+N9+N17+N18</f>
        <v>0</v>
      </c>
      <c r="O19" s="116">
        <f>+O6+O8+O9+O17+O18</f>
        <v>929646250</v>
      </c>
      <c r="P19" s="527"/>
    </row>
    <row r="20" spans="1:16" ht="12.95" customHeight="1" x14ac:dyDescent="0.2">
      <c r="A20" s="135" t="s">
        <v>25</v>
      </c>
      <c r="B20" s="136" t="s">
        <v>170</v>
      </c>
      <c r="C20" s="137">
        <f>+C21+C22+C23+C24+C25</f>
        <v>165833401</v>
      </c>
      <c r="D20" s="137">
        <f t="shared" ref="D20:F20" si="4">+D21+D22+D23+D24+D25</f>
        <v>0</v>
      </c>
      <c r="E20" s="137">
        <f t="shared" si="4"/>
        <v>165833401</v>
      </c>
      <c r="F20" s="137">
        <f t="shared" si="4"/>
        <v>100833401</v>
      </c>
      <c r="G20" s="137">
        <f>+G21+G22+G23+G24+G25</f>
        <v>0</v>
      </c>
      <c r="H20" s="137">
        <f>+H21+H22+H23+H24+H25</f>
        <v>165833401</v>
      </c>
      <c r="I20" s="119" t="s">
        <v>115</v>
      </c>
      <c r="J20" s="418"/>
      <c r="K20" s="405"/>
      <c r="L20" s="405"/>
      <c r="M20" s="405"/>
      <c r="N20" s="405"/>
      <c r="O20" s="138"/>
      <c r="P20" s="527"/>
    </row>
    <row r="21" spans="1:16" ht="18" customHeight="1" x14ac:dyDescent="0.2">
      <c r="A21" s="187" t="s">
        <v>54</v>
      </c>
      <c r="B21" s="139" t="s">
        <v>171</v>
      </c>
      <c r="C21" s="400">
        <f>H21</f>
        <v>100833401</v>
      </c>
      <c r="D21" s="341">
        <f>E21-C21</f>
        <v>0</v>
      </c>
      <c r="E21" s="400">
        <v>100833401</v>
      </c>
      <c r="F21" s="400">
        <v>100833401</v>
      </c>
      <c r="G21" s="400"/>
      <c r="H21" s="121">
        <v>100833401</v>
      </c>
      <c r="I21" s="119" t="s">
        <v>172</v>
      </c>
      <c r="J21" s="372"/>
      <c r="K21" s="355"/>
      <c r="L21" s="355"/>
      <c r="M21" s="355"/>
      <c r="N21" s="355"/>
      <c r="O21" s="122"/>
      <c r="P21" s="527"/>
    </row>
    <row r="22" spans="1:16" ht="12.95" customHeight="1" x14ac:dyDescent="0.2">
      <c r="A22" s="135" t="s">
        <v>65</v>
      </c>
      <c r="B22" s="139" t="s">
        <v>173</v>
      </c>
      <c r="C22" s="400"/>
      <c r="D22" s="400"/>
      <c r="E22" s="400"/>
      <c r="F22" s="400"/>
      <c r="G22" s="400"/>
      <c r="H22" s="121"/>
      <c r="I22" s="119" t="s">
        <v>119</v>
      </c>
      <c r="J22" s="372"/>
      <c r="K22" s="355"/>
      <c r="L22" s="355"/>
      <c r="M22" s="355"/>
      <c r="N22" s="355"/>
      <c r="O22" s="122"/>
      <c r="P22" s="527"/>
    </row>
    <row r="23" spans="1:16" ht="12.95" customHeight="1" x14ac:dyDescent="0.2">
      <c r="A23" s="187" t="s">
        <v>26</v>
      </c>
      <c r="B23" s="139" t="s">
        <v>174</v>
      </c>
      <c r="C23" s="400"/>
      <c r="D23" s="400"/>
      <c r="E23" s="400"/>
      <c r="F23" s="400"/>
      <c r="G23" s="400"/>
      <c r="H23" s="121"/>
      <c r="I23" s="119" t="s">
        <v>120</v>
      </c>
      <c r="J23" s="372"/>
      <c r="K23" s="355"/>
      <c r="L23" s="355"/>
      <c r="M23" s="355"/>
      <c r="N23" s="355"/>
      <c r="O23" s="122"/>
      <c r="P23" s="527"/>
    </row>
    <row r="24" spans="1:16" ht="12.95" customHeight="1" x14ac:dyDescent="0.2">
      <c r="A24" s="135" t="s">
        <v>66</v>
      </c>
      <c r="B24" s="139" t="s">
        <v>175</v>
      </c>
      <c r="C24" s="400">
        <f>'1. Bevételek'!E41</f>
        <v>65000000</v>
      </c>
      <c r="D24" s="341">
        <f>E24-C24</f>
        <v>0</v>
      </c>
      <c r="E24" s="400">
        <v>65000000</v>
      </c>
      <c r="F24" s="400">
        <v>0</v>
      </c>
      <c r="G24" s="121">
        <f>'1. Bevételek'!I41</f>
        <v>0</v>
      </c>
      <c r="H24" s="121">
        <f>'1. Bevételek'!M41</f>
        <v>65000000</v>
      </c>
      <c r="I24" s="118" t="s">
        <v>14</v>
      </c>
      <c r="J24" s="419"/>
      <c r="K24" s="354"/>
      <c r="L24" s="354"/>
      <c r="M24" s="354"/>
      <c r="N24" s="354"/>
      <c r="O24" s="122"/>
      <c r="P24" s="527"/>
    </row>
    <row r="25" spans="1:16" ht="12.95" customHeight="1" x14ac:dyDescent="0.2">
      <c r="A25" s="187" t="s">
        <v>52</v>
      </c>
      <c r="B25" s="140" t="s">
        <v>176</v>
      </c>
      <c r="C25" s="140"/>
      <c r="D25" s="140"/>
      <c r="E25" s="140"/>
      <c r="F25" s="140"/>
      <c r="G25" s="140"/>
      <c r="H25" s="121"/>
      <c r="I25" s="119" t="s">
        <v>177</v>
      </c>
      <c r="J25" s="372"/>
      <c r="K25" s="355"/>
      <c r="L25" s="355"/>
      <c r="M25" s="355"/>
      <c r="N25" s="355"/>
      <c r="O25" s="122"/>
      <c r="P25" s="527"/>
    </row>
    <row r="26" spans="1:16" ht="12.95" customHeight="1" x14ac:dyDescent="0.2">
      <c r="A26" s="135" t="s">
        <v>80</v>
      </c>
      <c r="B26" s="141" t="s">
        <v>178</v>
      </c>
      <c r="C26" s="123">
        <f>+C27+C28+C29+C30+C31</f>
        <v>650000000</v>
      </c>
      <c r="D26" s="123">
        <f t="shared" ref="D26:F26" si="5">+D27+D28+D29+D30+D31</f>
        <v>0</v>
      </c>
      <c r="E26" s="123">
        <f t="shared" si="5"/>
        <v>650000000</v>
      </c>
      <c r="F26" s="123">
        <f t="shared" si="5"/>
        <v>0</v>
      </c>
      <c r="G26" s="141"/>
      <c r="H26" s="123">
        <f>+H27+H28+H29+H30+H31</f>
        <v>650000000</v>
      </c>
      <c r="I26" s="142" t="s">
        <v>179</v>
      </c>
      <c r="J26" s="420"/>
      <c r="K26" s="405"/>
      <c r="L26" s="405"/>
      <c r="M26" s="405"/>
      <c r="N26" s="405"/>
      <c r="O26" s="122"/>
      <c r="P26" s="527"/>
    </row>
    <row r="27" spans="1:16" ht="12.95" customHeight="1" x14ac:dyDescent="0.2">
      <c r="A27" s="187" t="s">
        <v>127</v>
      </c>
      <c r="B27" s="140" t="s">
        <v>180</v>
      </c>
      <c r="C27" s="140">
        <f>'1. Bevételek'!E39</f>
        <v>650000000</v>
      </c>
      <c r="D27" s="341">
        <f>E27-C27</f>
        <v>0</v>
      </c>
      <c r="E27" s="140">
        <v>650000000</v>
      </c>
      <c r="F27" s="140"/>
      <c r="G27" s="140"/>
      <c r="H27" s="121">
        <v>650000000</v>
      </c>
      <c r="I27" s="142" t="s">
        <v>181</v>
      </c>
      <c r="J27" s="420"/>
      <c r="K27" s="405"/>
      <c r="L27" s="405"/>
      <c r="M27" s="405"/>
      <c r="N27" s="405"/>
      <c r="O27" s="122"/>
      <c r="P27" s="527"/>
    </row>
    <row r="28" spans="1:16" ht="12.95" customHeight="1" x14ac:dyDescent="0.2">
      <c r="A28" s="135" t="s">
        <v>129</v>
      </c>
      <c r="B28" s="140" t="s">
        <v>182</v>
      </c>
      <c r="C28" s="140"/>
      <c r="D28" s="140"/>
      <c r="E28" s="140"/>
      <c r="F28" s="140"/>
      <c r="G28" s="140"/>
      <c r="H28" s="121"/>
      <c r="I28" s="143"/>
      <c r="J28" s="421"/>
      <c r="K28" s="406"/>
      <c r="L28" s="406"/>
      <c r="M28" s="406"/>
      <c r="N28" s="406"/>
      <c r="O28" s="122"/>
      <c r="P28" s="527"/>
    </row>
    <row r="29" spans="1:16" ht="12.95" customHeight="1" x14ac:dyDescent="0.2">
      <c r="A29" s="187" t="s">
        <v>132</v>
      </c>
      <c r="B29" s="139" t="s">
        <v>183</v>
      </c>
      <c r="C29" s="400"/>
      <c r="D29" s="400"/>
      <c r="E29" s="400"/>
      <c r="F29" s="400"/>
      <c r="G29" s="400"/>
      <c r="H29" s="121"/>
      <c r="I29" s="144"/>
      <c r="J29" s="422"/>
      <c r="K29" s="407"/>
      <c r="L29" s="407"/>
      <c r="M29" s="407"/>
      <c r="N29" s="407"/>
      <c r="O29" s="122"/>
      <c r="P29" s="527"/>
    </row>
    <row r="30" spans="1:16" ht="12.95" customHeight="1" x14ac:dyDescent="0.2">
      <c r="A30" s="135" t="s">
        <v>135</v>
      </c>
      <c r="B30" s="145" t="s">
        <v>184</v>
      </c>
      <c r="C30" s="401"/>
      <c r="D30" s="401"/>
      <c r="E30" s="401"/>
      <c r="F30" s="401"/>
      <c r="G30" s="401"/>
      <c r="H30" s="121"/>
      <c r="I30" s="109"/>
      <c r="J30" s="224"/>
      <c r="K30" s="351"/>
      <c r="L30" s="351"/>
      <c r="M30" s="351"/>
      <c r="N30" s="351"/>
      <c r="O30" s="122"/>
      <c r="P30" s="527"/>
    </row>
    <row r="31" spans="1:16" ht="12.95" customHeight="1" thickBot="1" x14ac:dyDescent="0.25">
      <c r="A31" s="187" t="s">
        <v>138</v>
      </c>
      <c r="B31" s="146" t="s">
        <v>185</v>
      </c>
      <c r="C31" s="402"/>
      <c r="D31" s="402"/>
      <c r="E31" s="402"/>
      <c r="F31" s="402"/>
      <c r="G31" s="402"/>
      <c r="H31" s="121"/>
      <c r="I31" s="144"/>
      <c r="J31" s="423"/>
      <c r="K31" s="457"/>
      <c r="L31" s="457"/>
      <c r="M31" s="457"/>
      <c r="N31" s="407"/>
      <c r="O31" s="122"/>
      <c r="P31" s="527"/>
    </row>
    <row r="32" spans="1:16" ht="21.75" customHeight="1" thickBot="1" x14ac:dyDescent="0.25">
      <c r="A32" s="113" t="s">
        <v>141</v>
      </c>
      <c r="B32" s="114" t="s">
        <v>186</v>
      </c>
      <c r="C32" s="115">
        <f>+C20+C26</f>
        <v>815833401</v>
      </c>
      <c r="D32" s="115">
        <f t="shared" ref="D32:F32" si="6">+D20+D26</f>
        <v>0</v>
      </c>
      <c r="E32" s="115">
        <f t="shared" si="6"/>
        <v>815833401</v>
      </c>
      <c r="F32" s="115">
        <f t="shared" si="6"/>
        <v>100833401</v>
      </c>
      <c r="G32" s="115">
        <f>+G20+G26</f>
        <v>0</v>
      </c>
      <c r="H32" s="115">
        <f>+H20+H26</f>
        <v>815833401</v>
      </c>
      <c r="I32" s="114" t="s">
        <v>187</v>
      </c>
      <c r="J32" s="417"/>
      <c r="K32" s="353"/>
      <c r="L32" s="353"/>
      <c r="M32" s="353"/>
      <c r="N32" s="353"/>
      <c r="O32" s="116">
        <v>0</v>
      </c>
      <c r="P32" s="527"/>
    </row>
    <row r="33" spans="1:16" ht="23.25" customHeight="1" thickBot="1" x14ac:dyDescent="0.25">
      <c r="A33" s="113" t="s">
        <v>144</v>
      </c>
      <c r="B33" s="125" t="s">
        <v>188</v>
      </c>
      <c r="C33" s="115">
        <f>+C19+C32</f>
        <v>929646250</v>
      </c>
      <c r="D33" s="115">
        <f t="shared" ref="D33:F33" si="7">+D19+D32</f>
        <v>126128</v>
      </c>
      <c r="E33" s="115">
        <f t="shared" si="7"/>
        <v>929772378</v>
      </c>
      <c r="F33" s="115">
        <f t="shared" si="7"/>
        <v>103563269</v>
      </c>
      <c r="G33" s="115">
        <f>+G19+G32</f>
        <v>0</v>
      </c>
      <c r="H33" s="115">
        <f>+H19+H32</f>
        <v>929646250</v>
      </c>
      <c r="I33" s="125" t="s">
        <v>189</v>
      </c>
      <c r="J33" s="116">
        <f>+J19+J32</f>
        <v>929646250</v>
      </c>
      <c r="K33" s="116">
        <f t="shared" ref="K33:N33" si="8">+K19+K32</f>
        <v>1489142</v>
      </c>
      <c r="L33" s="116">
        <f t="shared" si="8"/>
        <v>931135392</v>
      </c>
      <c r="M33" s="116">
        <f t="shared" si="8"/>
        <v>9452279</v>
      </c>
      <c r="N33" s="116">
        <f t="shared" si="8"/>
        <v>0</v>
      </c>
      <c r="O33" s="116">
        <f>+O19+O32</f>
        <v>929646250</v>
      </c>
      <c r="P33" s="527"/>
    </row>
    <row r="34" spans="1:16" ht="18" customHeight="1" thickBot="1" x14ac:dyDescent="0.25">
      <c r="A34" s="113" t="s">
        <v>190</v>
      </c>
      <c r="B34" s="114" t="s">
        <v>136</v>
      </c>
      <c r="C34" s="346"/>
      <c r="D34" s="346"/>
      <c r="E34" s="346"/>
      <c r="F34" s="346"/>
      <c r="G34" s="346"/>
      <c r="H34" s="126" t="s">
        <v>191</v>
      </c>
      <c r="I34" s="114" t="s">
        <v>137</v>
      </c>
      <c r="J34" s="417"/>
      <c r="K34" s="353"/>
      <c r="L34" s="353"/>
      <c r="M34" s="353"/>
      <c r="N34" s="353"/>
      <c r="O34" s="127"/>
      <c r="P34" s="527"/>
    </row>
    <row r="35" spans="1:16" ht="13.5" thickBot="1" x14ac:dyDescent="0.25">
      <c r="A35" s="113" t="s">
        <v>192</v>
      </c>
      <c r="B35" s="128" t="s">
        <v>193</v>
      </c>
      <c r="C35" s="129">
        <f>SUM(C33:C34)</f>
        <v>929646250</v>
      </c>
      <c r="D35" s="129">
        <f t="shared" ref="D35:F35" si="9">SUM(D33:D34)</f>
        <v>126128</v>
      </c>
      <c r="E35" s="129">
        <f t="shared" si="9"/>
        <v>929772378</v>
      </c>
      <c r="F35" s="129">
        <f t="shared" si="9"/>
        <v>103563269</v>
      </c>
      <c r="G35" s="115">
        <f>+G21+G34</f>
        <v>0</v>
      </c>
      <c r="H35" s="129">
        <f>SUM(H33:H34)</f>
        <v>929646250</v>
      </c>
      <c r="I35" s="128" t="s">
        <v>194</v>
      </c>
      <c r="J35" s="129">
        <f>+J33+J34</f>
        <v>929646250</v>
      </c>
      <c r="K35" s="129">
        <f t="shared" ref="K35:N35" si="10">+K33+K34</f>
        <v>1489142</v>
      </c>
      <c r="L35" s="129">
        <f t="shared" si="10"/>
        <v>931135392</v>
      </c>
      <c r="M35" s="129">
        <f t="shared" si="10"/>
        <v>9452279</v>
      </c>
      <c r="N35" s="129">
        <f t="shared" si="10"/>
        <v>0</v>
      </c>
      <c r="O35" s="129">
        <f>+O33+O34</f>
        <v>929646250</v>
      </c>
      <c r="P35" s="527"/>
    </row>
    <row r="36" spans="1:16" ht="13.5" thickBot="1" x14ac:dyDescent="0.25">
      <c r="A36" s="113" t="s">
        <v>195</v>
      </c>
      <c r="B36" s="128" t="s">
        <v>142</v>
      </c>
      <c r="C36" s="129">
        <f>IF(C19-J19&lt;0,J19-C19,"-")</f>
        <v>815833401</v>
      </c>
      <c r="D36" s="129"/>
      <c r="E36" s="129"/>
      <c r="F36" s="129"/>
      <c r="G36" s="129" t="str">
        <f>IF(G19-N19&lt;0,N19-G19,"-")</f>
        <v>-</v>
      </c>
      <c r="H36" s="129">
        <f>IF(H19-O19&lt;0,O19-H19,"-")</f>
        <v>815833401</v>
      </c>
      <c r="I36" s="128" t="s">
        <v>143</v>
      </c>
      <c r="J36" s="129" t="str">
        <f>IF(J19-P19&lt;0,P19-J19,"-")</f>
        <v>-</v>
      </c>
      <c r="K36" s="129"/>
      <c r="L36" s="129"/>
      <c r="M36" s="129"/>
      <c r="N36" s="129" t="str">
        <f>IF(N19-Q19&lt;0,Q19-N19,"-")</f>
        <v>-</v>
      </c>
      <c r="O36" s="129" t="str">
        <f>IF(O19-R19&lt;0,R19-O19,"-")</f>
        <v>-</v>
      </c>
      <c r="P36" s="527"/>
    </row>
    <row r="37" spans="1:16" ht="13.5" thickBot="1" x14ac:dyDescent="0.25">
      <c r="A37" s="113" t="s">
        <v>196</v>
      </c>
      <c r="B37" s="128" t="s">
        <v>145</v>
      </c>
      <c r="C37" s="129">
        <f>IF(C19+C20-J33&lt;0,J33-(C19+C20),"-")</f>
        <v>650000000</v>
      </c>
      <c r="D37" s="129"/>
      <c r="E37" s="129"/>
      <c r="F37" s="129"/>
      <c r="G37" s="129" t="str">
        <f>IF(G19+G20-N33&lt;0,N33-(G19+G20),"-")</f>
        <v>-</v>
      </c>
      <c r="H37" s="129">
        <f>IF(H19+H20-O33&lt;0,O33-(H19+H20),"-")</f>
        <v>650000000</v>
      </c>
      <c r="I37" s="128" t="s">
        <v>146</v>
      </c>
      <c r="J37" s="129" t="str">
        <f>IF(J19+J20-P33&lt;0,P33-(J19+J20),"-")</f>
        <v>-</v>
      </c>
      <c r="K37" s="129"/>
      <c r="L37" s="129"/>
      <c r="M37" s="129"/>
      <c r="N37" s="129" t="str">
        <f>IF(N19+N20-Q33&lt;0,Q33-(N19+N20),"-")</f>
        <v>-</v>
      </c>
      <c r="O37" s="129" t="str">
        <f>IF(O19+O20-R33&lt;0,R33-(O19+O20),"-")</f>
        <v>-</v>
      </c>
      <c r="P37" s="527"/>
    </row>
  </sheetData>
  <mergeCells count="2">
    <mergeCell ref="P1:P37"/>
    <mergeCell ref="A3:A4"/>
  </mergeCells>
  <phoneticPr fontId="7" type="noConversion"/>
  <pageMargins left="0.25" right="0.25" top="0.75" bottom="0.75" header="0.3" footer="0.3"/>
  <pageSetup paperSize="9" scale="85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I60"/>
  <sheetViews>
    <sheetView topLeftCell="A40" workbookViewId="0">
      <selection activeCell="L9" sqref="L9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20" bestFit="1" customWidth="1"/>
    <col min="4" max="4" width="14" style="20" bestFit="1" customWidth="1"/>
    <col min="5" max="7" width="14" style="20" customWidth="1"/>
    <col min="8" max="8" width="11.5703125" style="11" bestFit="1" customWidth="1"/>
    <col min="9" max="9" width="11.42578125" style="11" customWidth="1"/>
    <col min="10" max="16384" width="9.140625" style="2"/>
  </cols>
  <sheetData>
    <row r="1" spans="1:9" ht="21" customHeight="1" x14ac:dyDescent="0.2">
      <c r="A1" s="465" t="s">
        <v>429</v>
      </c>
      <c r="B1" s="465"/>
      <c r="C1" s="465"/>
      <c r="D1" s="465"/>
      <c r="E1" s="465"/>
      <c r="F1" s="465"/>
      <c r="G1" s="465"/>
      <c r="H1" s="465"/>
      <c r="I1" s="465"/>
    </row>
    <row r="2" spans="1:9" ht="18.75" customHeight="1" x14ac:dyDescent="0.2">
      <c r="A2" s="465" t="s">
        <v>43</v>
      </c>
      <c r="B2" s="465"/>
      <c r="C2" s="465"/>
      <c r="D2" s="465"/>
      <c r="E2" s="465"/>
      <c r="F2" s="465"/>
      <c r="G2" s="465"/>
      <c r="H2" s="465"/>
      <c r="I2" s="297" t="s">
        <v>380</v>
      </c>
    </row>
    <row r="3" spans="1:9" ht="15" customHeight="1" thickBot="1" x14ac:dyDescent="0.25">
      <c r="I3" s="18"/>
    </row>
    <row r="4" spans="1:9" ht="15" customHeight="1" thickBot="1" x14ac:dyDescent="0.25">
      <c r="A4" s="536" t="s">
        <v>36</v>
      </c>
      <c r="B4" s="537"/>
      <c r="C4" s="548" t="s">
        <v>35</v>
      </c>
      <c r="D4" s="550" t="s">
        <v>374</v>
      </c>
      <c r="E4" s="551"/>
      <c r="F4" s="551"/>
      <c r="G4" s="551"/>
      <c r="H4" s="551"/>
      <c r="I4" s="552"/>
    </row>
    <row r="5" spans="1:9" ht="25.5" customHeight="1" thickBot="1" x14ac:dyDescent="0.25">
      <c r="A5" s="538"/>
      <c r="B5" s="539"/>
      <c r="C5" s="549"/>
      <c r="D5" s="300" t="s">
        <v>201</v>
      </c>
      <c r="E5" s="300" t="s">
        <v>433</v>
      </c>
      <c r="F5" s="300" t="s">
        <v>432</v>
      </c>
      <c r="G5" s="300" t="s">
        <v>428</v>
      </c>
      <c r="H5" s="301" t="s">
        <v>89</v>
      </c>
      <c r="I5" s="151" t="s">
        <v>200</v>
      </c>
    </row>
    <row r="6" spans="1:9" ht="21" customHeight="1" x14ac:dyDescent="0.2">
      <c r="A6" s="59" t="s">
        <v>20</v>
      </c>
      <c r="B6" s="36"/>
      <c r="C6" s="36"/>
      <c r="D6" s="36"/>
      <c r="E6" s="36"/>
      <c r="F6" s="36"/>
      <c r="G6" s="36"/>
      <c r="H6" s="302"/>
      <c r="I6" s="152"/>
    </row>
    <row r="7" spans="1:9" s="13" customFormat="1" ht="18" customHeight="1" x14ac:dyDescent="0.2">
      <c r="A7" s="60" t="s">
        <v>17</v>
      </c>
      <c r="B7" s="61"/>
      <c r="C7" s="61"/>
      <c r="D7" s="303"/>
      <c r="E7" s="437"/>
      <c r="F7" s="437"/>
      <c r="G7" s="437"/>
      <c r="H7" s="157"/>
      <c r="I7" s="153"/>
    </row>
    <row r="8" spans="1:9" ht="25.5" x14ac:dyDescent="0.2">
      <c r="A8" s="65" t="s">
        <v>37</v>
      </c>
      <c r="B8" s="66" t="s">
        <v>73</v>
      </c>
      <c r="C8" s="67" t="s">
        <v>77</v>
      </c>
      <c r="D8" s="68">
        <f t="shared" ref="D8:I8" si="0">SUM(D9:D10)</f>
        <v>105524914</v>
      </c>
      <c r="E8" s="68"/>
      <c r="F8" s="68"/>
      <c r="G8" s="68"/>
      <c r="H8" s="68">
        <f t="shared" si="0"/>
        <v>0</v>
      </c>
      <c r="I8" s="68">
        <f t="shared" si="0"/>
        <v>263722981</v>
      </c>
    </row>
    <row r="9" spans="1:9" ht="25.5" x14ac:dyDescent="0.2">
      <c r="A9" s="28" t="s">
        <v>37</v>
      </c>
      <c r="B9" s="14" t="s">
        <v>78</v>
      </c>
      <c r="C9" s="42"/>
      <c r="D9" s="463">
        <v>105524914</v>
      </c>
      <c r="E9" s="438"/>
      <c r="F9" s="438">
        <v>105524914</v>
      </c>
      <c r="G9" s="438">
        <v>52673153</v>
      </c>
      <c r="H9" s="304">
        <v>0</v>
      </c>
      <c r="I9" s="10">
        <f>SUM(D9:H9)</f>
        <v>263722981</v>
      </c>
    </row>
    <row r="10" spans="1:9" ht="15.75" customHeight="1" x14ac:dyDescent="0.2">
      <c r="A10" s="62"/>
      <c r="B10" s="63"/>
      <c r="C10" s="63"/>
      <c r="D10" s="63"/>
      <c r="E10" s="439"/>
      <c r="F10" s="439"/>
      <c r="G10" s="439"/>
      <c r="I10" s="154"/>
    </row>
    <row r="11" spans="1:9" ht="15" customHeight="1" x14ac:dyDescent="0.2">
      <c r="A11" s="30" t="s">
        <v>38</v>
      </c>
      <c r="B11" s="33" t="s">
        <v>283</v>
      </c>
      <c r="C11" s="40" t="s">
        <v>358</v>
      </c>
      <c r="D11" s="45">
        <f t="shared" ref="D11:I11" si="1">SUM(D12:D12)</f>
        <v>550000</v>
      </c>
      <c r="E11" s="45">
        <f t="shared" si="1"/>
        <v>0</v>
      </c>
      <c r="F11" s="45">
        <f t="shared" si="1"/>
        <v>550000</v>
      </c>
      <c r="G11" s="45">
        <f t="shared" si="1"/>
        <v>150000</v>
      </c>
      <c r="H11" s="45">
        <f t="shared" si="1"/>
        <v>0</v>
      </c>
      <c r="I11" s="45">
        <f t="shared" si="1"/>
        <v>1250000</v>
      </c>
    </row>
    <row r="12" spans="1:9" ht="15" customHeight="1" x14ac:dyDescent="0.2">
      <c r="A12" s="28" t="s">
        <v>37</v>
      </c>
      <c r="B12" s="14" t="s">
        <v>215</v>
      </c>
      <c r="C12" s="42"/>
      <c r="D12" s="46">
        <v>550000</v>
      </c>
      <c r="E12" s="438"/>
      <c r="F12" s="438">
        <v>550000</v>
      </c>
      <c r="G12" s="438">
        <v>150000</v>
      </c>
      <c r="H12" s="304">
        <v>0</v>
      </c>
      <c r="I12" s="10">
        <f>SUM(D12:H12)</f>
        <v>1250000</v>
      </c>
    </row>
    <row r="13" spans="1:9" ht="26.25" customHeight="1" x14ac:dyDescent="0.2">
      <c r="A13" s="30" t="s">
        <v>39</v>
      </c>
      <c r="B13" s="31" t="s">
        <v>31</v>
      </c>
      <c r="C13" s="40" t="s">
        <v>358</v>
      </c>
      <c r="D13" s="45">
        <f t="shared" ref="D13:I13" si="2">SUM(D14:D20)</f>
        <v>1028510</v>
      </c>
      <c r="E13" s="45">
        <f t="shared" si="2"/>
        <v>0</v>
      </c>
      <c r="F13" s="45">
        <f t="shared" si="2"/>
        <v>1028510</v>
      </c>
      <c r="G13" s="45">
        <f t="shared" si="2"/>
        <v>793846</v>
      </c>
      <c r="H13" s="45">
        <f t="shared" si="2"/>
        <v>941822</v>
      </c>
      <c r="I13" s="45">
        <f t="shared" si="2"/>
        <v>3792688</v>
      </c>
    </row>
    <row r="14" spans="1:9" ht="15" customHeight="1" x14ac:dyDescent="0.2">
      <c r="A14" s="28" t="s">
        <v>37</v>
      </c>
      <c r="B14" s="7" t="s">
        <v>71</v>
      </c>
      <c r="C14" s="42"/>
      <c r="D14" s="299">
        <v>0</v>
      </c>
      <c r="E14" s="438"/>
      <c r="F14" s="438">
        <v>0</v>
      </c>
      <c r="G14" s="438"/>
      <c r="H14" s="304"/>
      <c r="I14" s="10">
        <f t="shared" ref="I14:I19" si="3">SUM(D14:H14)</f>
        <v>0</v>
      </c>
    </row>
    <row r="15" spans="1:9" ht="15" customHeight="1" x14ac:dyDescent="0.2">
      <c r="A15" s="28" t="s">
        <v>38</v>
      </c>
      <c r="B15" s="8" t="s">
        <v>67</v>
      </c>
      <c r="C15" s="8"/>
      <c r="D15" s="298">
        <v>70000</v>
      </c>
      <c r="E15" s="440"/>
      <c r="F15" s="440">
        <v>70000</v>
      </c>
      <c r="G15" s="440"/>
      <c r="H15" s="305"/>
      <c r="I15" s="10">
        <f t="shared" si="3"/>
        <v>140000</v>
      </c>
    </row>
    <row r="16" spans="1:9" ht="15" customHeight="1" x14ac:dyDescent="0.2">
      <c r="A16" s="28" t="s">
        <v>39</v>
      </c>
      <c r="B16" s="7" t="s">
        <v>386</v>
      </c>
      <c r="C16" s="8"/>
      <c r="D16" s="298">
        <v>508325</v>
      </c>
      <c r="E16" s="440"/>
      <c r="F16" s="440">
        <v>508325</v>
      </c>
      <c r="G16" s="440">
        <v>508325</v>
      </c>
      <c r="H16" s="305"/>
      <c r="I16" s="10">
        <f t="shared" si="3"/>
        <v>1524975</v>
      </c>
    </row>
    <row r="17" spans="1:9" ht="15" customHeight="1" x14ac:dyDescent="0.2">
      <c r="A17" s="28" t="s">
        <v>40</v>
      </c>
      <c r="B17" s="7" t="s">
        <v>383</v>
      </c>
      <c r="C17" s="42"/>
      <c r="D17" s="298">
        <v>164664</v>
      </c>
      <c r="E17" s="440"/>
      <c r="F17" s="440">
        <v>164664</v>
      </c>
      <c r="G17" s="440"/>
      <c r="H17" s="304"/>
      <c r="I17" s="10">
        <f t="shared" si="3"/>
        <v>329328</v>
      </c>
    </row>
    <row r="18" spans="1:9" ht="15" customHeight="1" x14ac:dyDescent="0.2">
      <c r="A18" s="28" t="s">
        <v>41</v>
      </c>
      <c r="B18" s="7" t="s">
        <v>384</v>
      </c>
      <c r="C18" s="42"/>
      <c r="D18" s="298">
        <v>285521</v>
      </c>
      <c r="E18" s="440"/>
      <c r="F18" s="440">
        <v>285521</v>
      </c>
      <c r="G18" s="440">
        <v>285521</v>
      </c>
      <c r="H18" s="304"/>
      <c r="I18" s="10">
        <f t="shared" si="3"/>
        <v>856563</v>
      </c>
    </row>
    <row r="19" spans="1:9" ht="15" customHeight="1" x14ac:dyDescent="0.2">
      <c r="A19" s="28" t="s">
        <v>46</v>
      </c>
      <c r="B19" s="8" t="s">
        <v>388</v>
      </c>
      <c r="C19" s="42"/>
      <c r="D19" s="298">
        <v>0</v>
      </c>
      <c r="E19" s="440"/>
      <c r="F19" s="440">
        <v>0</v>
      </c>
      <c r="G19" s="440"/>
      <c r="H19" s="304">
        <v>941822</v>
      </c>
      <c r="I19" s="10">
        <f t="shared" si="3"/>
        <v>941822</v>
      </c>
    </row>
    <row r="20" spans="1:9" ht="15" customHeight="1" x14ac:dyDescent="0.2">
      <c r="A20" s="28"/>
      <c r="C20" s="8"/>
      <c r="D20" s="298"/>
      <c r="E20" s="440"/>
      <c r="F20" s="440"/>
      <c r="G20" s="440"/>
      <c r="H20" s="305"/>
      <c r="I20" s="10"/>
    </row>
    <row r="21" spans="1:9" ht="22.5" customHeight="1" x14ac:dyDescent="0.2">
      <c r="A21" s="30" t="s">
        <v>40</v>
      </c>
      <c r="B21" s="31" t="s">
        <v>72</v>
      </c>
      <c r="C21" s="40" t="s">
        <v>358</v>
      </c>
      <c r="D21" s="45">
        <f>SUM(D22:D26)</f>
        <v>245785163</v>
      </c>
      <c r="E21" s="45">
        <f t="shared" ref="E21:G21" si="4">SUM(E22:E26)</f>
        <v>0</v>
      </c>
      <c r="F21" s="45">
        <f t="shared" si="4"/>
        <v>245785163</v>
      </c>
      <c r="G21" s="45">
        <f t="shared" si="4"/>
        <v>108881214</v>
      </c>
      <c r="H21" s="45">
        <f>SUM(H22:H26)</f>
        <v>0</v>
      </c>
      <c r="I21" s="45">
        <f>SUM(I22:I26)</f>
        <v>600451540</v>
      </c>
    </row>
    <row r="22" spans="1:9" ht="25.5" x14ac:dyDescent="0.2">
      <c r="A22" s="28" t="s">
        <v>37</v>
      </c>
      <c r="B22" s="14" t="s">
        <v>434</v>
      </c>
      <c r="C22" s="42"/>
      <c r="D22" s="299">
        <v>49935</v>
      </c>
      <c r="E22" s="438"/>
      <c r="F22" s="438">
        <v>49935</v>
      </c>
      <c r="G22" s="438"/>
      <c r="H22" s="304">
        <v>0</v>
      </c>
      <c r="I22" s="10">
        <f t="shared" ref="I22:I25" si="5">SUM(D22:H22)</f>
        <v>99870</v>
      </c>
    </row>
    <row r="23" spans="1:9" ht="18" customHeight="1" x14ac:dyDescent="0.2">
      <c r="A23" s="28" t="s">
        <v>38</v>
      </c>
      <c r="B23" s="8" t="s">
        <v>385</v>
      </c>
      <c r="C23" s="42"/>
      <c r="D23" s="298">
        <v>95000</v>
      </c>
      <c r="E23" s="440"/>
      <c r="F23" s="440">
        <v>95000</v>
      </c>
      <c r="G23" s="440"/>
      <c r="H23" s="304">
        <v>0</v>
      </c>
      <c r="I23" s="10">
        <f t="shared" si="5"/>
        <v>190000</v>
      </c>
    </row>
    <row r="24" spans="1:9" ht="18" customHeight="1" x14ac:dyDescent="0.2">
      <c r="A24" s="28" t="s">
        <v>39</v>
      </c>
      <c r="B24" s="7" t="s">
        <v>208</v>
      </c>
      <c r="C24" s="42"/>
      <c r="D24" s="298">
        <v>233921053</v>
      </c>
      <c r="E24" s="440"/>
      <c r="F24" s="440">
        <v>233921053</v>
      </c>
      <c r="G24" s="440">
        <f>103378406</f>
        <v>103378406</v>
      </c>
      <c r="H24" s="304">
        <v>0</v>
      </c>
      <c r="I24" s="10">
        <f t="shared" si="5"/>
        <v>571220512</v>
      </c>
    </row>
    <row r="25" spans="1:9" ht="18" customHeight="1" x14ac:dyDescent="0.2">
      <c r="A25" s="28" t="s">
        <v>40</v>
      </c>
      <c r="B25" s="7" t="s">
        <v>207</v>
      </c>
      <c r="C25" s="42"/>
      <c r="D25" s="298">
        <v>11719175</v>
      </c>
      <c r="E25" s="440"/>
      <c r="F25" s="440">
        <v>11719175</v>
      </c>
      <c r="G25" s="440">
        <v>5502808</v>
      </c>
      <c r="H25" s="304">
        <v>0</v>
      </c>
      <c r="I25" s="10">
        <f t="shared" si="5"/>
        <v>28941158</v>
      </c>
    </row>
    <row r="26" spans="1:9" ht="18" customHeight="1" x14ac:dyDescent="0.2">
      <c r="A26" s="28"/>
      <c r="B26" s="7"/>
      <c r="C26" s="42"/>
      <c r="D26" s="298"/>
      <c r="E26" s="440"/>
      <c r="F26" s="440"/>
      <c r="G26" s="440"/>
      <c r="H26" s="304"/>
      <c r="I26" s="10"/>
    </row>
    <row r="27" spans="1:9" ht="23.25" customHeight="1" x14ac:dyDescent="0.2">
      <c r="A27" s="534" t="s">
        <v>0</v>
      </c>
      <c r="B27" s="535"/>
      <c r="C27" s="43" t="s">
        <v>358</v>
      </c>
      <c r="D27" s="25">
        <f>D11+D13+D21</f>
        <v>247363673</v>
      </c>
      <c r="E27" s="25">
        <f t="shared" ref="E27:G27" si="6">E11+E13+E21</f>
        <v>0</v>
      </c>
      <c r="F27" s="25">
        <f t="shared" si="6"/>
        <v>247363673</v>
      </c>
      <c r="G27" s="25">
        <f t="shared" si="6"/>
        <v>109825060</v>
      </c>
      <c r="H27" s="25">
        <f>H11+H13+H21</f>
        <v>941822</v>
      </c>
      <c r="I27" s="25">
        <f>I11+I13+I21</f>
        <v>605494228</v>
      </c>
    </row>
    <row r="28" spans="1:9" ht="24" customHeight="1" x14ac:dyDescent="0.2">
      <c r="A28" s="542"/>
      <c r="B28" s="543"/>
      <c r="C28" s="543"/>
      <c r="D28" s="543"/>
      <c r="E28" s="441"/>
      <c r="F28" s="441"/>
      <c r="G28" s="441"/>
      <c r="H28" s="306"/>
      <c r="I28" s="155"/>
    </row>
    <row r="29" spans="1:9" ht="22.5" customHeight="1" x14ac:dyDescent="0.2">
      <c r="A29" s="34" t="s">
        <v>37</v>
      </c>
      <c r="B29" s="31" t="s">
        <v>31</v>
      </c>
      <c r="C29" s="40" t="s">
        <v>75</v>
      </c>
      <c r="D29" s="27">
        <f t="shared" ref="D29:I29" si="7">SUM(D30:D30)</f>
        <v>0</v>
      </c>
      <c r="E29" s="27">
        <f t="shared" si="7"/>
        <v>0</v>
      </c>
      <c r="F29" s="27">
        <f t="shared" si="7"/>
        <v>0</v>
      </c>
      <c r="G29" s="27">
        <f t="shared" si="7"/>
        <v>0</v>
      </c>
      <c r="H29" s="27">
        <f t="shared" si="7"/>
        <v>0</v>
      </c>
      <c r="I29" s="27">
        <f t="shared" si="7"/>
        <v>0</v>
      </c>
    </row>
    <row r="30" spans="1:9" ht="15.75" customHeight="1" x14ac:dyDescent="0.2">
      <c r="A30" s="28"/>
      <c r="B30" s="14"/>
      <c r="C30" s="42"/>
      <c r="D30" s="10"/>
      <c r="E30" s="442"/>
      <c r="F30" s="442"/>
      <c r="G30" s="442"/>
      <c r="I30" s="10"/>
    </row>
    <row r="31" spans="1:9" ht="21" customHeight="1" thickBot="1" x14ac:dyDescent="0.25">
      <c r="A31" s="544" t="s">
        <v>6</v>
      </c>
      <c r="B31" s="545"/>
      <c r="C31" s="41" t="s">
        <v>75</v>
      </c>
      <c r="D31" s="12">
        <f t="shared" ref="D31:I31" si="8">D29</f>
        <v>0</v>
      </c>
      <c r="E31" s="12">
        <f t="shared" si="8"/>
        <v>0</v>
      </c>
      <c r="F31" s="12">
        <f t="shared" si="8"/>
        <v>0</v>
      </c>
      <c r="G31" s="12">
        <f t="shared" si="8"/>
        <v>0</v>
      </c>
      <c r="H31" s="12">
        <f t="shared" si="8"/>
        <v>0</v>
      </c>
      <c r="I31" s="12">
        <f t="shared" si="8"/>
        <v>0</v>
      </c>
    </row>
    <row r="32" spans="1:9" ht="18" customHeight="1" thickBot="1" x14ac:dyDescent="0.25">
      <c r="A32" s="546" t="s">
        <v>18</v>
      </c>
      <c r="B32" s="547"/>
      <c r="C32" s="44"/>
      <c r="D32" s="15">
        <f t="shared" ref="D32:I32" si="9">D27+D31</f>
        <v>247363673</v>
      </c>
      <c r="E32" s="15">
        <f t="shared" si="9"/>
        <v>0</v>
      </c>
      <c r="F32" s="15">
        <f t="shared" si="9"/>
        <v>247363673</v>
      </c>
      <c r="G32" s="15">
        <f t="shared" si="9"/>
        <v>109825060</v>
      </c>
      <c r="H32" s="15">
        <f t="shared" si="9"/>
        <v>941822</v>
      </c>
      <c r="I32" s="15">
        <f t="shared" si="9"/>
        <v>605494228</v>
      </c>
    </row>
    <row r="33" spans="1:9" ht="15" customHeight="1" thickBot="1" x14ac:dyDescent="0.25">
      <c r="A33" s="540" t="s">
        <v>21</v>
      </c>
      <c r="B33" s="541"/>
      <c r="C33" s="541"/>
      <c r="D33" s="541"/>
      <c r="E33" s="432"/>
      <c r="F33" s="432"/>
      <c r="G33" s="432"/>
      <c r="H33" s="307"/>
      <c r="I33" s="156"/>
    </row>
    <row r="34" spans="1:9" ht="15" customHeight="1" x14ac:dyDescent="0.2">
      <c r="A34" s="532" t="s">
        <v>19</v>
      </c>
      <c r="B34" s="533"/>
      <c r="C34" s="533"/>
      <c r="D34" s="533"/>
      <c r="E34" s="443"/>
      <c r="F34" s="443"/>
      <c r="G34" s="443"/>
      <c r="I34" s="154"/>
    </row>
    <row r="35" spans="1:9" ht="15" customHeight="1" x14ac:dyDescent="0.2">
      <c r="A35" s="34" t="s">
        <v>37</v>
      </c>
      <c r="B35" s="287" t="s">
        <v>7</v>
      </c>
      <c r="C35" s="40" t="s">
        <v>359</v>
      </c>
      <c r="D35" s="27">
        <f t="shared" ref="D35:I35" si="10">SUM(D36:D36)</f>
        <v>10000</v>
      </c>
      <c r="E35" s="27">
        <f t="shared" si="10"/>
        <v>0</v>
      </c>
      <c r="F35" s="27">
        <f t="shared" si="10"/>
        <v>10000</v>
      </c>
      <c r="G35" s="27">
        <f t="shared" si="10"/>
        <v>4000</v>
      </c>
      <c r="H35" s="27">
        <f t="shared" si="10"/>
        <v>0</v>
      </c>
      <c r="I35" s="27">
        <f t="shared" si="10"/>
        <v>24000</v>
      </c>
    </row>
    <row r="36" spans="1:9" ht="15" customHeight="1" x14ac:dyDescent="0.2">
      <c r="A36" s="29"/>
      <c r="B36" s="288" t="s">
        <v>74</v>
      </c>
      <c r="C36" s="42"/>
      <c r="D36" s="10">
        <v>10000</v>
      </c>
      <c r="E36" s="440"/>
      <c r="F36" s="440">
        <v>10000</v>
      </c>
      <c r="G36" s="440">
        <f>4000</f>
        <v>4000</v>
      </c>
      <c r="H36" s="304"/>
      <c r="I36" s="10">
        <f>SUM(D36:H36)</f>
        <v>24000</v>
      </c>
    </row>
    <row r="37" spans="1:9" ht="15" customHeight="1" x14ac:dyDescent="0.2">
      <c r="A37" s="34" t="s">
        <v>38</v>
      </c>
      <c r="B37" s="287" t="s">
        <v>68</v>
      </c>
      <c r="C37" s="40" t="s">
        <v>359</v>
      </c>
      <c r="D37" s="27">
        <f>SUM(D38:D39)</f>
        <v>4168800</v>
      </c>
      <c r="E37" s="27">
        <f t="shared" ref="E37:G37" si="11">SUM(E38:E39)</f>
        <v>0</v>
      </c>
      <c r="F37" s="27">
        <f t="shared" si="11"/>
        <v>4168800</v>
      </c>
      <c r="G37" s="27">
        <f t="shared" si="11"/>
        <v>11349727</v>
      </c>
      <c r="H37" s="27">
        <f>SUM(H38:H39)</f>
        <v>0</v>
      </c>
      <c r="I37" s="27">
        <f>SUM(D37:H37)</f>
        <v>19687327</v>
      </c>
    </row>
    <row r="38" spans="1:9" ht="15" customHeight="1" x14ac:dyDescent="0.2">
      <c r="A38" s="29" t="s">
        <v>37</v>
      </c>
      <c r="B38" s="22" t="s">
        <v>69</v>
      </c>
      <c r="C38" s="42"/>
      <c r="D38" s="10">
        <v>4168800</v>
      </c>
      <c r="E38" s="440"/>
      <c r="F38" s="440">
        <v>4168800</v>
      </c>
      <c r="G38" s="462">
        <v>5085500</v>
      </c>
      <c r="H38" s="304">
        <v>0</v>
      </c>
      <c r="I38" s="10">
        <f>SUM(D38:H38)</f>
        <v>13423100</v>
      </c>
    </row>
    <row r="39" spans="1:9" ht="15" customHeight="1" x14ac:dyDescent="0.2">
      <c r="A39" s="29"/>
      <c r="B39" s="288" t="s">
        <v>435</v>
      </c>
      <c r="C39" s="42"/>
      <c r="D39" s="10"/>
      <c r="E39" s="440"/>
      <c r="F39" s="440"/>
      <c r="G39" s="440">
        <v>6264227</v>
      </c>
      <c r="H39" s="304"/>
      <c r="I39" s="10"/>
    </row>
    <row r="40" spans="1:9" ht="15" customHeight="1" x14ac:dyDescent="0.2">
      <c r="A40" s="32" t="s">
        <v>39</v>
      </c>
      <c r="B40" s="287" t="s">
        <v>79</v>
      </c>
      <c r="C40" s="40" t="s">
        <v>359</v>
      </c>
      <c r="D40" s="27">
        <f>SUM(D41:D58)</f>
        <v>29450505</v>
      </c>
      <c r="E40" s="27">
        <f t="shared" ref="E40:G40" si="12">SUM(E41:E58)</f>
        <v>0</v>
      </c>
      <c r="F40" s="27">
        <f t="shared" si="12"/>
        <v>29525505</v>
      </c>
      <c r="G40" s="27">
        <f t="shared" si="12"/>
        <v>9048005</v>
      </c>
      <c r="H40" s="27">
        <f>SUM(H41:H58)</f>
        <v>0</v>
      </c>
      <c r="I40" s="27">
        <f>SUM(D40:H40)</f>
        <v>68024015</v>
      </c>
    </row>
    <row r="41" spans="1:9" ht="15" customHeight="1" x14ac:dyDescent="0.2">
      <c r="A41" s="29" t="s">
        <v>37</v>
      </c>
      <c r="B41" s="22" t="s">
        <v>209</v>
      </c>
      <c r="C41" s="42"/>
      <c r="D41" s="10">
        <v>100000</v>
      </c>
      <c r="E41" s="440"/>
      <c r="F41" s="440">
        <v>100000</v>
      </c>
      <c r="G41" s="440"/>
      <c r="H41" s="304">
        <v>0</v>
      </c>
      <c r="I41" s="10">
        <f>SUM(D41:H41)</f>
        <v>200000</v>
      </c>
    </row>
    <row r="42" spans="1:9" ht="15" customHeight="1" x14ac:dyDescent="0.2">
      <c r="A42" s="29" t="s">
        <v>38</v>
      </c>
      <c r="B42" s="22" t="s">
        <v>55</v>
      </c>
      <c r="C42" s="42"/>
      <c r="D42" s="10">
        <v>200000</v>
      </c>
      <c r="E42" s="440"/>
      <c r="F42" s="440">
        <v>200000</v>
      </c>
      <c r="G42" s="440">
        <f>200000</f>
        <v>200000</v>
      </c>
      <c r="H42" s="304">
        <v>0</v>
      </c>
      <c r="I42" s="10">
        <f t="shared" ref="I42:I58" si="13">SUM(D42:H42)</f>
        <v>600000</v>
      </c>
    </row>
    <row r="43" spans="1:9" ht="15" customHeight="1" x14ac:dyDescent="0.2">
      <c r="A43" s="29" t="s">
        <v>39</v>
      </c>
      <c r="B43" s="22" t="s">
        <v>56</v>
      </c>
      <c r="C43" s="42"/>
      <c r="D43" s="10">
        <v>350000</v>
      </c>
      <c r="E43" s="440"/>
      <c r="F43" s="6">
        <v>350000</v>
      </c>
      <c r="G43" s="440">
        <f>350000</f>
        <v>350000</v>
      </c>
      <c r="H43" s="304">
        <v>0</v>
      </c>
      <c r="I43" s="10">
        <f t="shared" si="13"/>
        <v>1050000</v>
      </c>
    </row>
    <row r="44" spans="1:9" ht="15" customHeight="1" x14ac:dyDescent="0.2">
      <c r="A44" s="29" t="s">
        <v>40</v>
      </c>
      <c r="B44" s="22" t="s">
        <v>57</v>
      </c>
      <c r="C44" s="42"/>
      <c r="D44" s="10">
        <v>250000</v>
      </c>
      <c r="E44" s="440"/>
      <c r="F44" s="6">
        <v>250000</v>
      </c>
      <c r="G44" s="440"/>
      <c r="H44" s="304">
        <v>0</v>
      </c>
      <c r="I44" s="10">
        <f t="shared" si="13"/>
        <v>500000</v>
      </c>
    </row>
    <row r="45" spans="1:9" ht="15" customHeight="1" x14ac:dyDescent="0.2">
      <c r="A45" s="29" t="s">
        <v>41</v>
      </c>
      <c r="B45" s="22" t="s">
        <v>210</v>
      </c>
      <c r="C45" s="42"/>
      <c r="D45" s="10">
        <v>5878505</v>
      </c>
      <c r="E45" s="440"/>
      <c r="F45" s="6">
        <v>5878505</v>
      </c>
      <c r="G45" s="440">
        <f>540500+934755+489250+489250+489250</f>
        <v>2943005</v>
      </c>
      <c r="H45" s="304">
        <v>0</v>
      </c>
      <c r="I45" s="10">
        <f t="shared" si="13"/>
        <v>14700015</v>
      </c>
    </row>
    <row r="46" spans="1:9" ht="15" customHeight="1" x14ac:dyDescent="0.2">
      <c r="A46" s="29" t="s">
        <v>46</v>
      </c>
      <c r="B46" s="22" t="s">
        <v>58</v>
      </c>
      <c r="C46" s="42"/>
      <c r="D46" s="10">
        <v>2000000</v>
      </c>
      <c r="E46" s="440"/>
      <c r="F46" s="6">
        <v>2000000</v>
      </c>
      <c r="G46" s="440">
        <f>500000+500000</f>
        <v>1000000</v>
      </c>
      <c r="H46" s="304">
        <v>0</v>
      </c>
      <c r="I46" s="10">
        <f t="shared" si="13"/>
        <v>5000000</v>
      </c>
    </row>
    <row r="47" spans="1:9" ht="15" customHeight="1" x14ac:dyDescent="0.2">
      <c r="A47" s="29" t="s">
        <v>48</v>
      </c>
      <c r="B47" s="22" t="s">
        <v>59</v>
      </c>
      <c r="C47" s="42"/>
      <c r="D47" s="10">
        <v>950000</v>
      </c>
      <c r="E47" s="440"/>
      <c r="F47" s="444">
        <f>950000+20000</f>
        <v>970000</v>
      </c>
      <c r="G47" s="440">
        <f>20000</f>
        <v>20000</v>
      </c>
      <c r="H47" s="304">
        <v>0</v>
      </c>
      <c r="I47" s="10">
        <f t="shared" si="13"/>
        <v>1940000</v>
      </c>
    </row>
    <row r="48" spans="1:9" ht="15" customHeight="1" x14ac:dyDescent="0.2">
      <c r="A48" s="29" t="s">
        <v>49</v>
      </c>
      <c r="B48" s="2" t="s">
        <v>387</v>
      </c>
      <c r="C48" s="42"/>
      <c r="D48" s="10">
        <v>60000</v>
      </c>
      <c r="E48" s="440"/>
      <c r="F48" s="6">
        <v>60000</v>
      </c>
      <c r="G48" s="440">
        <f>60000</f>
        <v>60000</v>
      </c>
      <c r="H48" s="304">
        <v>0</v>
      </c>
      <c r="I48" s="10">
        <f t="shared" si="13"/>
        <v>180000</v>
      </c>
    </row>
    <row r="49" spans="1:9" ht="15" customHeight="1" x14ac:dyDescent="0.2">
      <c r="A49" s="29" t="s">
        <v>50</v>
      </c>
      <c r="B49" s="22" t="s">
        <v>60</v>
      </c>
      <c r="C49" s="42"/>
      <c r="D49" s="10">
        <v>400000</v>
      </c>
      <c r="E49" s="440"/>
      <c r="F49" s="6">
        <v>400000</v>
      </c>
      <c r="G49" s="440">
        <f>80000</f>
        <v>80000</v>
      </c>
      <c r="H49" s="304">
        <v>0</v>
      </c>
      <c r="I49" s="10">
        <f t="shared" si="13"/>
        <v>880000</v>
      </c>
    </row>
    <row r="50" spans="1:9" ht="15" customHeight="1" x14ac:dyDescent="0.2">
      <c r="A50" s="29" t="s">
        <v>51</v>
      </c>
      <c r="B50" s="22" t="s">
        <v>61</v>
      </c>
      <c r="C50" s="42"/>
      <c r="D50" s="10">
        <v>1150000</v>
      </c>
      <c r="E50" s="440"/>
      <c r="F50" s="440">
        <f>1150000+55000</f>
        <v>1205000</v>
      </c>
      <c r="G50" s="440">
        <f>55000+115000+115000+115000+115000</f>
        <v>515000</v>
      </c>
      <c r="H50" s="304">
        <v>0</v>
      </c>
      <c r="I50" s="10">
        <f t="shared" si="13"/>
        <v>2870000</v>
      </c>
    </row>
    <row r="51" spans="1:9" ht="15" customHeight="1" x14ac:dyDescent="0.2">
      <c r="A51" s="29" t="s">
        <v>23</v>
      </c>
      <c r="B51" s="22" t="s">
        <v>211</v>
      </c>
      <c r="C51" s="42"/>
      <c r="D51" s="10">
        <v>1150000</v>
      </c>
      <c r="E51" s="440"/>
      <c r="F51" s="440">
        <v>1150000</v>
      </c>
      <c r="G51" s="440">
        <f>345000+115000</f>
        <v>460000</v>
      </c>
      <c r="H51" s="304">
        <v>0</v>
      </c>
      <c r="I51" s="10">
        <f t="shared" si="13"/>
        <v>2760000</v>
      </c>
    </row>
    <row r="52" spans="1:9" ht="15" customHeight="1" x14ac:dyDescent="0.2">
      <c r="A52" s="29" t="s">
        <v>24</v>
      </c>
      <c r="B52" s="22" t="s">
        <v>62</v>
      </c>
      <c r="C52" s="42"/>
      <c r="D52" s="10">
        <v>250000</v>
      </c>
      <c r="E52" s="440"/>
      <c r="F52" s="440">
        <v>250000</v>
      </c>
      <c r="G52" s="440">
        <f>250000</f>
        <v>250000</v>
      </c>
      <c r="H52" s="304">
        <v>0</v>
      </c>
      <c r="I52" s="10">
        <f t="shared" si="13"/>
        <v>750000</v>
      </c>
    </row>
    <row r="53" spans="1:9" ht="15" customHeight="1" x14ac:dyDescent="0.2">
      <c r="A53" s="29" t="s">
        <v>28</v>
      </c>
      <c r="B53" s="22" t="s">
        <v>63</v>
      </c>
      <c r="C53" s="42"/>
      <c r="D53" s="10">
        <v>500000</v>
      </c>
      <c r="E53" s="440"/>
      <c r="F53" s="440">
        <v>500000</v>
      </c>
      <c r="G53" s="440"/>
      <c r="H53" s="304">
        <v>0</v>
      </c>
      <c r="I53" s="10">
        <f t="shared" si="13"/>
        <v>1000000</v>
      </c>
    </row>
    <row r="54" spans="1:9" ht="15" customHeight="1" x14ac:dyDescent="0.2">
      <c r="A54" s="29" t="s">
        <v>25</v>
      </c>
      <c r="B54" s="22" t="s">
        <v>64</v>
      </c>
      <c r="C54" s="42"/>
      <c r="D54" s="10">
        <v>15400000</v>
      </c>
      <c r="E54" s="440"/>
      <c r="F54" s="440">
        <v>15400000</v>
      </c>
      <c r="G54" s="440">
        <f>350000+175000+175000+175000+990000+330000+175000</f>
        <v>2370000</v>
      </c>
      <c r="H54" s="304">
        <v>0</v>
      </c>
      <c r="I54" s="10">
        <f t="shared" si="13"/>
        <v>33170000</v>
      </c>
    </row>
    <row r="55" spans="1:9" ht="15" customHeight="1" x14ac:dyDescent="0.2">
      <c r="A55" s="29" t="s">
        <v>54</v>
      </c>
      <c r="B55" s="22" t="s">
        <v>70</v>
      </c>
      <c r="C55" s="42"/>
      <c r="D55" s="10">
        <v>0</v>
      </c>
      <c r="E55" s="440"/>
      <c r="F55" s="440">
        <v>0</v>
      </c>
      <c r="G55" s="440"/>
      <c r="H55" s="304">
        <v>0</v>
      </c>
      <c r="I55" s="10">
        <f t="shared" si="13"/>
        <v>0</v>
      </c>
    </row>
    <row r="56" spans="1:9" ht="15" customHeight="1" x14ac:dyDescent="0.2">
      <c r="A56" s="29" t="s">
        <v>65</v>
      </c>
      <c r="B56" s="22" t="s">
        <v>212</v>
      </c>
      <c r="C56" s="42"/>
      <c r="D56" s="10">
        <v>12000</v>
      </c>
      <c r="E56" s="440"/>
      <c r="F56" s="440">
        <v>12000</v>
      </c>
      <c r="G56" s="440"/>
      <c r="H56" s="304">
        <v>0</v>
      </c>
      <c r="I56" s="10">
        <f t="shared" si="13"/>
        <v>24000</v>
      </c>
    </row>
    <row r="57" spans="1:9" ht="15" customHeight="1" x14ac:dyDescent="0.2">
      <c r="A57" s="29" t="s">
        <v>26</v>
      </c>
      <c r="B57" s="14" t="s">
        <v>284</v>
      </c>
      <c r="C57" s="42"/>
      <c r="D57" s="10">
        <v>500000</v>
      </c>
      <c r="E57" s="440"/>
      <c r="F57" s="440">
        <v>500000</v>
      </c>
      <c r="G57" s="440">
        <f>500000</f>
        <v>500000</v>
      </c>
      <c r="H57" s="304">
        <v>0</v>
      </c>
      <c r="I57" s="10">
        <f t="shared" si="13"/>
        <v>1500000</v>
      </c>
    </row>
    <row r="58" spans="1:9" ht="15" customHeight="1" x14ac:dyDescent="0.2">
      <c r="A58" s="29" t="s">
        <v>66</v>
      </c>
      <c r="B58" s="2" t="s">
        <v>285</v>
      </c>
      <c r="C58" s="42"/>
      <c r="D58" s="10">
        <v>300000</v>
      </c>
      <c r="E58" s="440"/>
      <c r="F58" s="440">
        <v>300000</v>
      </c>
      <c r="G58" s="440">
        <f>300000</f>
        <v>300000</v>
      </c>
      <c r="H58" s="304"/>
      <c r="I58" s="10">
        <f t="shared" si="13"/>
        <v>900000</v>
      </c>
    </row>
    <row r="59" spans="1:9" ht="18" customHeight="1" x14ac:dyDescent="0.2">
      <c r="A59" s="534" t="s">
        <v>8</v>
      </c>
      <c r="B59" s="535"/>
      <c r="C59" s="43" t="s">
        <v>359</v>
      </c>
      <c r="D59" s="25">
        <f>D35+D37+D40</f>
        <v>33629305</v>
      </c>
      <c r="E59" s="25">
        <f t="shared" ref="E59:G59" si="14">E35+E37+E40</f>
        <v>0</v>
      </c>
      <c r="F59" s="25">
        <f t="shared" si="14"/>
        <v>33704305</v>
      </c>
      <c r="G59" s="25">
        <f t="shared" si="14"/>
        <v>20401732</v>
      </c>
      <c r="H59" s="25">
        <f>H35+H37+H40</f>
        <v>0</v>
      </c>
      <c r="I59" s="25">
        <f>I35+I37+I40</f>
        <v>87735342</v>
      </c>
    </row>
    <row r="60" spans="1:9" ht="18" customHeight="1" x14ac:dyDescent="0.2">
      <c r="A60" s="534" t="s">
        <v>287</v>
      </c>
      <c r="B60" s="535"/>
      <c r="C60" s="43"/>
      <c r="D60" s="201">
        <f>D32+D59</f>
        <v>280992978</v>
      </c>
      <c r="E60" s="201">
        <f t="shared" ref="E60:G60" si="15">E32+E59</f>
        <v>0</v>
      </c>
      <c r="F60" s="201">
        <f t="shared" si="15"/>
        <v>281067978</v>
      </c>
      <c r="G60" s="201">
        <f t="shared" si="15"/>
        <v>130226792</v>
      </c>
      <c r="H60" s="201">
        <f>H32+H59</f>
        <v>941822</v>
      </c>
      <c r="I60" s="201">
        <f>I32+I59</f>
        <v>693229570</v>
      </c>
    </row>
  </sheetData>
  <mergeCells count="13">
    <mergeCell ref="A1:I1"/>
    <mergeCell ref="A2:H2"/>
    <mergeCell ref="A34:D34"/>
    <mergeCell ref="A59:B59"/>
    <mergeCell ref="A60:B60"/>
    <mergeCell ref="A4:B5"/>
    <mergeCell ref="A33:D33"/>
    <mergeCell ref="A27:B27"/>
    <mergeCell ref="A28:D28"/>
    <mergeCell ref="A31:B31"/>
    <mergeCell ref="A32:B32"/>
    <mergeCell ref="C4:C5"/>
    <mergeCell ref="D4:I4"/>
  </mergeCells>
  <phoneticPr fontId="7" type="noConversion"/>
  <pageMargins left="0.61" right="0.16" top="0.54" bottom="0.41" header="0.26" footer="0.18"/>
  <pageSetup paperSize="9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J65"/>
  <sheetViews>
    <sheetView zoomScaleNormal="100" workbookViewId="0">
      <selection activeCell="O41" sqref="O41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6.140625" style="2" customWidth="1"/>
    <col min="6" max="6" width="9.28515625" style="20" customWidth="1"/>
    <col min="7" max="10" width="18.5703125" style="197" customWidth="1"/>
    <col min="11" max="16384" width="9.140625" style="2"/>
  </cols>
  <sheetData>
    <row r="1" spans="1:10" ht="15" customHeight="1" x14ac:dyDescent="0.2">
      <c r="A1" s="465" t="s">
        <v>439</v>
      </c>
      <c r="B1" s="465"/>
      <c r="C1" s="465"/>
      <c r="D1" s="465"/>
      <c r="E1" s="465"/>
      <c r="F1" s="465"/>
      <c r="G1" s="465"/>
      <c r="H1" s="11"/>
      <c r="I1" s="2"/>
      <c r="J1" s="2"/>
    </row>
    <row r="2" spans="1:10" ht="19.5" customHeight="1" x14ac:dyDescent="0.2">
      <c r="A2" s="465" t="s">
        <v>47</v>
      </c>
      <c r="B2" s="465"/>
      <c r="C2" s="465"/>
      <c r="D2" s="465"/>
      <c r="E2" s="465"/>
      <c r="F2" s="465"/>
      <c r="H2" s="297"/>
      <c r="I2" s="297"/>
      <c r="J2" s="297" t="s">
        <v>380</v>
      </c>
    </row>
    <row r="3" spans="1:10" ht="15" customHeight="1" x14ac:dyDescent="0.2">
      <c r="A3" s="3"/>
      <c r="B3" s="3"/>
      <c r="C3" s="13"/>
      <c r="D3" s="13"/>
      <c r="E3" s="3"/>
      <c r="F3" s="21"/>
      <c r="G3" s="289"/>
      <c r="H3" s="289"/>
      <c r="I3" s="289"/>
      <c r="J3" s="289"/>
    </row>
    <row r="4" spans="1:10" ht="10.5" customHeight="1" thickBot="1" x14ac:dyDescent="0.25"/>
    <row r="5" spans="1:10" ht="42.75" customHeight="1" thickBot="1" x14ac:dyDescent="0.25">
      <c r="A5" s="553" t="s">
        <v>36</v>
      </c>
      <c r="B5" s="554"/>
      <c r="C5" s="554"/>
      <c r="D5" s="554"/>
      <c r="E5" s="554"/>
      <c r="F5" s="202" t="s">
        <v>35</v>
      </c>
      <c r="G5" s="336" t="s">
        <v>374</v>
      </c>
      <c r="H5" s="336" t="s">
        <v>426</v>
      </c>
      <c r="I5" s="336" t="s">
        <v>427</v>
      </c>
      <c r="J5" s="336" t="s">
        <v>428</v>
      </c>
    </row>
    <row r="6" spans="1:10" ht="18" customHeight="1" x14ac:dyDescent="0.2">
      <c r="A6" s="559" t="s">
        <v>37</v>
      </c>
      <c r="B6" s="562" t="s">
        <v>30</v>
      </c>
      <c r="C6" s="563"/>
      <c r="D6" s="563"/>
      <c r="E6" s="563"/>
      <c r="F6" s="563"/>
      <c r="G6" s="564"/>
      <c r="H6" s="11"/>
      <c r="I6" s="2"/>
      <c r="J6" s="2"/>
    </row>
    <row r="7" spans="1:10" ht="15" customHeight="1" x14ac:dyDescent="0.2">
      <c r="A7" s="560"/>
      <c r="B7" s="557" t="s">
        <v>37</v>
      </c>
      <c r="C7" s="565" t="s">
        <v>34</v>
      </c>
      <c r="D7" s="566"/>
      <c r="E7" s="567"/>
      <c r="F7" s="47" t="s">
        <v>405</v>
      </c>
      <c r="G7" s="322">
        <f>SUM(G8:G9)</f>
        <v>0</v>
      </c>
      <c r="H7" s="322">
        <f t="shared" ref="H7:J7" si="0">SUM(H8:H9)</f>
        <v>0</v>
      </c>
      <c r="I7" s="322">
        <f t="shared" si="0"/>
        <v>0</v>
      </c>
      <c r="J7" s="322">
        <f t="shared" si="0"/>
        <v>0</v>
      </c>
    </row>
    <row r="8" spans="1:10" s="13" customFormat="1" ht="15" customHeight="1" x14ac:dyDescent="0.2">
      <c r="A8" s="560"/>
      <c r="B8" s="558"/>
      <c r="C8" s="35" t="s">
        <v>37</v>
      </c>
      <c r="D8" s="555" t="s">
        <v>16</v>
      </c>
      <c r="E8" s="556"/>
      <c r="F8" s="48"/>
      <c r="G8" s="309">
        <v>0</v>
      </c>
      <c r="H8" s="309"/>
      <c r="I8" s="309"/>
      <c r="J8" s="309"/>
    </row>
    <row r="9" spans="1:10" s="13" customFormat="1" ht="15" customHeight="1" x14ac:dyDescent="0.2">
      <c r="A9" s="560"/>
      <c r="B9" s="558"/>
      <c r="C9" s="64" t="s">
        <v>38</v>
      </c>
      <c r="D9" s="555" t="s">
        <v>15</v>
      </c>
      <c r="E9" s="556"/>
      <c r="F9" s="48"/>
      <c r="G9" s="309">
        <v>0</v>
      </c>
      <c r="H9" s="309"/>
      <c r="I9" s="309"/>
      <c r="J9" s="309"/>
    </row>
    <row r="10" spans="1:10" ht="15" customHeight="1" x14ac:dyDescent="0.2">
      <c r="A10" s="560"/>
      <c r="B10" s="557" t="s">
        <v>38</v>
      </c>
      <c r="C10" s="565" t="s">
        <v>406</v>
      </c>
      <c r="D10" s="566"/>
      <c r="E10" s="567"/>
      <c r="F10" s="49" t="s">
        <v>81</v>
      </c>
      <c r="G10" s="323">
        <f>G11+G13+G15+G18</f>
        <v>619815229</v>
      </c>
      <c r="H10" s="323">
        <f t="shared" ref="H10:J10" si="1">H11+H13+H15+H18</f>
        <v>0</v>
      </c>
      <c r="I10" s="323">
        <f t="shared" si="1"/>
        <v>619815229</v>
      </c>
      <c r="J10" s="323">
        <f t="shared" si="1"/>
        <v>1613899</v>
      </c>
    </row>
    <row r="11" spans="1:10" s="13" customFormat="1" ht="15" customHeight="1" x14ac:dyDescent="0.2">
      <c r="A11" s="560"/>
      <c r="B11" s="558"/>
      <c r="C11" s="17" t="s">
        <v>37</v>
      </c>
      <c r="D11" s="555" t="s">
        <v>44</v>
      </c>
      <c r="E11" s="556"/>
      <c r="F11" s="48"/>
      <c r="G11" s="309"/>
      <c r="H11" s="309"/>
      <c r="I11" s="309"/>
      <c r="J11" s="309"/>
    </row>
    <row r="12" spans="1:10" s="13" customFormat="1" ht="15" customHeight="1" x14ac:dyDescent="0.25">
      <c r="A12" s="560"/>
      <c r="B12" s="558"/>
      <c r="C12" s="54"/>
      <c r="D12" s="39" t="s">
        <v>37</v>
      </c>
      <c r="E12" s="53"/>
      <c r="F12" s="48"/>
      <c r="G12" s="324"/>
      <c r="H12" s="324"/>
      <c r="I12" s="324"/>
      <c r="J12" s="324"/>
    </row>
    <row r="13" spans="1:10" s="13" customFormat="1" ht="15" customHeight="1" x14ac:dyDescent="0.2">
      <c r="A13" s="560"/>
      <c r="B13" s="558"/>
      <c r="C13" s="557" t="s">
        <v>38</v>
      </c>
      <c r="D13" s="555" t="s">
        <v>45</v>
      </c>
      <c r="E13" s="556"/>
      <c r="F13" s="48"/>
      <c r="G13" s="309">
        <f>SUM(G14:G14)</f>
        <v>0</v>
      </c>
      <c r="H13" s="309"/>
      <c r="I13" s="309"/>
      <c r="J13" s="309"/>
    </row>
    <row r="14" spans="1:10" ht="15" customHeight="1" x14ac:dyDescent="0.2">
      <c r="A14" s="560"/>
      <c r="B14" s="558"/>
      <c r="C14" s="558"/>
      <c r="D14" s="23" t="s">
        <v>37</v>
      </c>
      <c r="E14" s="37"/>
      <c r="F14" s="50"/>
      <c r="G14" s="324"/>
      <c r="H14" s="324"/>
      <c r="I14" s="324"/>
      <c r="J14" s="324"/>
    </row>
    <row r="15" spans="1:10" s="13" customFormat="1" ht="15" customHeight="1" x14ac:dyDescent="0.2">
      <c r="A15" s="560"/>
      <c r="B15" s="558"/>
      <c r="C15" s="557" t="s">
        <v>39</v>
      </c>
      <c r="D15" s="555" t="s">
        <v>9</v>
      </c>
      <c r="E15" s="556"/>
      <c r="F15" s="48"/>
      <c r="G15" s="309">
        <f>SUM(G16:G17)</f>
        <v>570866142</v>
      </c>
      <c r="H15" s="309">
        <f t="shared" ref="H15:J15" si="2">SUM(H16:H17)</f>
        <v>0</v>
      </c>
      <c r="I15" s="309">
        <f t="shared" si="2"/>
        <v>570866142</v>
      </c>
      <c r="J15" s="309">
        <f t="shared" si="2"/>
        <v>0</v>
      </c>
    </row>
    <row r="16" spans="1:10" s="13" customFormat="1" ht="15" customHeight="1" x14ac:dyDescent="0.2">
      <c r="A16" s="560"/>
      <c r="B16" s="558"/>
      <c r="C16" s="558"/>
      <c r="D16" s="39" t="s">
        <v>37</v>
      </c>
      <c r="E16" s="37" t="s">
        <v>286</v>
      </c>
      <c r="F16" s="48" t="s">
        <v>81</v>
      </c>
      <c r="G16" s="324">
        <v>511811024</v>
      </c>
      <c r="H16" s="324">
        <f>I16-G16</f>
        <v>0</v>
      </c>
      <c r="I16" s="324">
        <v>511811024</v>
      </c>
      <c r="J16" s="324"/>
    </row>
    <row r="17" spans="1:10" s="13" customFormat="1" ht="15" customHeight="1" x14ac:dyDescent="0.2">
      <c r="A17" s="560"/>
      <c r="B17" s="558"/>
      <c r="C17" s="69"/>
      <c r="D17" s="428" t="s">
        <v>38</v>
      </c>
      <c r="E17" s="37" t="s">
        <v>395</v>
      </c>
      <c r="F17" s="48"/>
      <c r="G17" s="324">
        <f>35433071+23622047</f>
        <v>59055118</v>
      </c>
      <c r="H17" s="324">
        <f>I17-G17</f>
        <v>0</v>
      </c>
      <c r="I17" s="324">
        <v>59055118</v>
      </c>
      <c r="J17" s="324"/>
    </row>
    <row r="18" spans="1:10" s="13" customFormat="1" ht="15" customHeight="1" x14ac:dyDescent="0.2">
      <c r="A18" s="560"/>
      <c r="B18" s="558"/>
      <c r="C18" s="557" t="s">
        <v>40</v>
      </c>
      <c r="D18" s="555" t="s">
        <v>10</v>
      </c>
      <c r="E18" s="556"/>
      <c r="F18" s="48" t="s">
        <v>81</v>
      </c>
      <c r="G18" s="309">
        <f>SUM(G19:G25)</f>
        <v>48949087</v>
      </c>
      <c r="H18" s="309">
        <f t="shared" ref="H18:J18" si="3">SUM(H19:H25)</f>
        <v>0</v>
      </c>
      <c r="I18" s="309">
        <f t="shared" si="3"/>
        <v>48949087</v>
      </c>
      <c r="J18" s="309">
        <f t="shared" si="3"/>
        <v>1613899</v>
      </c>
    </row>
    <row r="19" spans="1:10" s="13" customFormat="1" ht="16.5" customHeight="1" x14ac:dyDescent="0.25">
      <c r="A19" s="560"/>
      <c r="B19" s="558"/>
      <c r="C19" s="558"/>
      <c r="D19" s="39" t="s">
        <v>37</v>
      </c>
      <c r="E19" s="53" t="s">
        <v>389</v>
      </c>
      <c r="F19" s="48"/>
      <c r="G19" s="324">
        <v>20160302</v>
      </c>
      <c r="H19" s="324">
        <f>I19-G19</f>
        <v>0</v>
      </c>
      <c r="I19" s="324">
        <v>20160302</v>
      </c>
      <c r="J19" s="324"/>
    </row>
    <row r="20" spans="1:10" s="13" customFormat="1" x14ac:dyDescent="0.25">
      <c r="A20" s="560"/>
      <c r="B20" s="558"/>
      <c r="C20" s="558"/>
      <c r="D20" s="39" t="s">
        <v>38</v>
      </c>
      <c r="E20" s="55" t="s">
        <v>390</v>
      </c>
      <c r="F20" s="48"/>
      <c r="G20" s="324">
        <v>6299213</v>
      </c>
      <c r="H20" s="324">
        <f t="shared" ref="H20:H25" si="4">I20-G20</f>
        <v>0</v>
      </c>
      <c r="I20" s="324">
        <v>6299213</v>
      </c>
      <c r="J20" s="324"/>
    </row>
    <row r="21" spans="1:10" s="13" customFormat="1" x14ac:dyDescent="0.25">
      <c r="A21" s="560"/>
      <c r="B21" s="558"/>
      <c r="C21" s="558"/>
      <c r="D21" s="39" t="s">
        <v>39</v>
      </c>
      <c r="E21" s="55" t="s">
        <v>391</v>
      </c>
      <c r="F21" s="48"/>
      <c r="G21" s="324">
        <v>15748031</v>
      </c>
      <c r="H21" s="324">
        <f t="shared" si="4"/>
        <v>0</v>
      </c>
      <c r="I21" s="324">
        <v>15748031</v>
      </c>
      <c r="J21" s="324"/>
    </row>
    <row r="22" spans="1:10" s="13" customFormat="1" x14ac:dyDescent="0.25">
      <c r="A22" s="560"/>
      <c r="B22" s="558"/>
      <c r="C22" s="558"/>
      <c r="D22" s="39" t="s">
        <v>40</v>
      </c>
      <c r="E22" s="55" t="s">
        <v>392</v>
      </c>
      <c r="F22" s="48"/>
      <c r="G22" s="324">
        <v>2095872</v>
      </c>
      <c r="H22" s="324">
        <f t="shared" si="4"/>
        <v>0</v>
      </c>
      <c r="I22" s="324">
        <v>2095872</v>
      </c>
      <c r="J22" s="324"/>
    </row>
    <row r="23" spans="1:10" s="13" customFormat="1" x14ac:dyDescent="0.25">
      <c r="A23" s="560"/>
      <c r="B23" s="558"/>
      <c r="C23" s="558"/>
      <c r="D23" s="291" t="s">
        <v>41</v>
      </c>
      <c r="E23" s="55" t="s">
        <v>394</v>
      </c>
      <c r="F23" s="48"/>
      <c r="G23" s="324">
        <v>708661</v>
      </c>
      <c r="H23" s="324">
        <f t="shared" si="4"/>
        <v>0</v>
      </c>
      <c r="I23" s="324">
        <v>708661</v>
      </c>
      <c r="J23" s="324"/>
    </row>
    <row r="24" spans="1:10" s="13" customFormat="1" ht="16.5" customHeight="1" x14ac:dyDescent="0.25">
      <c r="A24" s="560"/>
      <c r="B24" s="558"/>
      <c r="C24" s="558"/>
      <c r="D24" s="39" t="s">
        <v>46</v>
      </c>
      <c r="E24" s="55" t="s">
        <v>393</v>
      </c>
      <c r="F24" s="48"/>
      <c r="G24" s="324">
        <v>3937008</v>
      </c>
      <c r="H24" s="324">
        <f t="shared" si="4"/>
        <v>0</v>
      </c>
      <c r="I24" s="324">
        <v>3937008</v>
      </c>
      <c r="J24" s="324"/>
    </row>
    <row r="25" spans="1:10" s="13" customFormat="1" ht="16.5" customHeight="1" x14ac:dyDescent="0.25">
      <c r="A25" s="560"/>
      <c r="B25" s="433"/>
      <c r="C25" s="445"/>
      <c r="D25" s="446">
        <v>7</v>
      </c>
      <c r="E25" s="447" t="s">
        <v>436</v>
      </c>
      <c r="F25" s="48"/>
      <c r="G25" s="324"/>
      <c r="H25" s="324">
        <f t="shared" si="4"/>
        <v>0</v>
      </c>
      <c r="I25" s="324"/>
      <c r="J25" s="324">
        <v>1613899</v>
      </c>
    </row>
    <row r="26" spans="1:10" ht="18.75" customHeight="1" x14ac:dyDescent="0.2">
      <c r="A26" s="560"/>
      <c r="B26" s="557" t="s">
        <v>39</v>
      </c>
      <c r="C26" s="565" t="s">
        <v>402</v>
      </c>
      <c r="D26" s="566"/>
      <c r="E26" s="567"/>
      <c r="F26" s="49" t="s">
        <v>403</v>
      </c>
      <c r="G26" s="323">
        <f>G27+G30+G37+G38</f>
        <v>13738035</v>
      </c>
      <c r="H26" s="323">
        <f t="shared" ref="H26:J26" si="5">H27+H30+H37+H38</f>
        <v>274610</v>
      </c>
      <c r="I26" s="323">
        <f t="shared" si="5"/>
        <v>14012645</v>
      </c>
      <c r="J26" s="323">
        <f t="shared" si="5"/>
        <v>4942458</v>
      </c>
    </row>
    <row r="27" spans="1:10" s="13" customFormat="1" ht="15" customHeight="1" x14ac:dyDescent="0.2">
      <c r="A27" s="560"/>
      <c r="B27" s="558"/>
      <c r="C27" s="17" t="s">
        <v>37</v>
      </c>
      <c r="D27" s="581" t="s">
        <v>400</v>
      </c>
      <c r="E27" s="582"/>
      <c r="F27" s="48" t="s">
        <v>213</v>
      </c>
      <c r="G27" s="309">
        <f>SUM(G28:G29)</f>
        <v>1291496</v>
      </c>
      <c r="H27" s="309">
        <f t="shared" ref="H27:J27" si="6">SUM(H28:H29)</f>
        <v>274610</v>
      </c>
      <c r="I27" s="309">
        <f t="shared" si="6"/>
        <v>1566106</v>
      </c>
      <c r="J27" s="309">
        <f t="shared" si="6"/>
        <v>1566106</v>
      </c>
    </row>
    <row r="28" spans="1:10" ht="25.5" x14ac:dyDescent="0.2">
      <c r="A28" s="560"/>
      <c r="B28" s="558"/>
      <c r="C28" s="568"/>
      <c r="D28" s="9" t="s">
        <v>37</v>
      </c>
      <c r="E28" s="14" t="s">
        <v>437</v>
      </c>
      <c r="F28" s="50"/>
      <c r="G28" s="324">
        <f>740316+551180</f>
        <v>1291496</v>
      </c>
      <c r="H28" s="324">
        <f t="shared" ref="H28" si="7">I28-G28</f>
        <v>274610</v>
      </c>
      <c r="I28" s="324">
        <v>1566106</v>
      </c>
      <c r="J28" s="324">
        <v>1566106</v>
      </c>
    </row>
    <row r="29" spans="1:10" ht="12.75" x14ac:dyDescent="0.2">
      <c r="A29" s="560"/>
      <c r="B29" s="558"/>
      <c r="C29" s="569"/>
      <c r="D29" s="9">
        <v>2</v>
      </c>
      <c r="E29" s="14"/>
      <c r="F29" s="50"/>
      <c r="G29" s="324">
        <v>0</v>
      </c>
      <c r="H29" s="324"/>
      <c r="I29" s="324"/>
      <c r="J29" s="324"/>
    </row>
    <row r="30" spans="1:10" s="13" customFormat="1" ht="26.25" customHeight="1" x14ac:dyDescent="0.2">
      <c r="A30" s="560"/>
      <c r="B30" s="558"/>
      <c r="C30" s="557" t="s">
        <v>38</v>
      </c>
      <c r="D30" s="555" t="s">
        <v>401</v>
      </c>
      <c r="E30" s="556"/>
      <c r="F30" s="48" t="s">
        <v>82</v>
      </c>
      <c r="G30" s="309">
        <f>SUM(G31:G36)</f>
        <v>12446539</v>
      </c>
      <c r="H30" s="309">
        <f t="shared" ref="H30:J30" si="8">SUM(H31:H36)</f>
        <v>0</v>
      </c>
      <c r="I30" s="309">
        <f t="shared" si="8"/>
        <v>12446539</v>
      </c>
      <c r="J30" s="309">
        <f t="shared" si="8"/>
        <v>3376352</v>
      </c>
    </row>
    <row r="31" spans="1:10" s="13" customFormat="1" ht="12.75" x14ac:dyDescent="0.2">
      <c r="A31" s="560"/>
      <c r="B31" s="558"/>
      <c r="C31" s="558"/>
      <c r="D31" s="39" t="s">
        <v>37</v>
      </c>
      <c r="E31" s="5" t="s">
        <v>396</v>
      </c>
      <c r="F31" s="48"/>
      <c r="G31" s="324">
        <v>94488</v>
      </c>
      <c r="H31" s="324">
        <f t="shared" ref="H31:H35" si="9">I31-G31</f>
        <v>0</v>
      </c>
      <c r="I31" s="324">
        <v>94488</v>
      </c>
      <c r="J31" s="324">
        <v>86535</v>
      </c>
    </row>
    <row r="32" spans="1:10" s="13" customFormat="1" ht="12.75" x14ac:dyDescent="0.2">
      <c r="A32" s="560"/>
      <c r="B32" s="558"/>
      <c r="C32" s="558"/>
      <c r="D32" s="39" t="s">
        <v>38</v>
      </c>
      <c r="E32" s="56" t="s">
        <v>397</v>
      </c>
      <c r="F32" s="48"/>
      <c r="G32" s="324">
        <f>3151457+2938857+1</f>
        <v>6090315</v>
      </c>
      <c r="H32" s="324">
        <f t="shared" si="9"/>
        <v>0</v>
      </c>
      <c r="I32" s="324">
        <v>6090315</v>
      </c>
      <c r="J32" s="324">
        <v>2947943</v>
      </c>
    </row>
    <row r="33" spans="1:10" s="13" customFormat="1" ht="12.75" x14ac:dyDescent="0.2">
      <c r="A33" s="560"/>
      <c r="B33" s="558"/>
      <c r="C33" s="558"/>
      <c r="D33" s="39" t="s">
        <v>39</v>
      </c>
      <c r="E33" s="5" t="s">
        <v>398</v>
      </c>
      <c r="F33" s="48"/>
      <c r="G33" s="324">
        <v>4320000</v>
      </c>
      <c r="H33" s="324">
        <f t="shared" si="9"/>
        <v>0</v>
      </c>
      <c r="I33" s="324">
        <v>4320000</v>
      </c>
      <c r="J33" s="324"/>
    </row>
    <row r="34" spans="1:10" s="13" customFormat="1" ht="25.5" x14ac:dyDescent="0.2">
      <c r="A34" s="560"/>
      <c r="B34" s="558"/>
      <c r="C34" s="558"/>
      <c r="D34" s="39" t="s">
        <v>40</v>
      </c>
      <c r="E34" s="14" t="s">
        <v>422</v>
      </c>
      <c r="F34" s="48"/>
      <c r="G34" s="324">
        <f>1303937+7878</f>
        <v>1311815</v>
      </c>
      <c r="H34" s="324">
        <f t="shared" si="9"/>
        <v>0</v>
      </c>
      <c r="I34" s="324">
        <v>1311815</v>
      </c>
      <c r="J34" s="324">
        <f>24795</f>
        <v>24795</v>
      </c>
    </row>
    <row r="35" spans="1:10" s="13" customFormat="1" ht="12.75" x14ac:dyDescent="0.2">
      <c r="A35" s="560"/>
      <c r="B35" s="558"/>
      <c r="C35" s="558"/>
      <c r="D35" s="428" t="s">
        <v>41</v>
      </c>
      <c r="E35" s="5" t="s">
        <v>399</v>
      </c>
      <c r="F35" s="48"/>
      <c r="G35" s="324">
        <v>629921</v>
      </c>
      <c r="H35" s="324">
        <f t="shared" si="9"/>
        <v>0</v>
      </c>
      <c r="I35" s="324">
        <v>629921</v>
      </c>
      <c r="J35" s="324"/>
    </row>
    <row r="36" spans="1:10" ht="12.75" x14ac:dyDescent="0.2">
      <c r="A36" s="560"/>
      <c r="B36" s="558"/>
      <c r="C36" s="558"/>
      <c r="D36" s="428" t="s">
        <v>46</v>
      </c>
      <c r="E36" s="56" t="s">
        <v>438</v>
      </c>
      <c r="F36" s="39"/>
      <c r="G36" s="324"/>
      <c r="H36" s="324"/>
      <c r="I36" s="324"/>
      <c r="J36" s="324">
        <f>7079+310000</f>
        <v>317079</v>
      </c>
    </row>
    <row r="37" spans="1:10" s="13" customFormat="1" ht="15" customHeight="1" x14ac:dyDescent="0.2">
      <c r="A37" s="560"/>
      <c r="B37" s="558"/>
      <c r="C37" s="17" t="s">
        <v>39</v>
      </c>
      <c r="D37" s="555" t="s">
        <v>29</v>
      </c>
      <c r="E37" s="556"/>
      <c r="F37" s="48"/>
      <c r="G37" s="309">
        <v>0</v>
      </c>
      <c r="H37" s="309"/>
      <c r="I37" s="309"/>
      <c r="J37" s="309"/>
    </row>
    <row r="38" spans="1:10" s="13" customFormat="1" ht="15" customHeight="1" x14ac:dyDescent="0.2">
      <c r="A38" s="561"/>
      <c r="B38" s="580"/>
      <c r="C38" s="17"/>
      <c r="D38" s="555"/>
      <c r="E38" s="556"/>
      <c r="F38" s="48"/>
      <c r="G38" s="309"/>
      <c r="H38" s="309"/>
      <c r="I38" s="309"/>
      <c r="J38" s="309"/>
    </row>
    <row r="39" spans="1:10" ht="15" customHeight="1" x14ac:dyDescent="0.2">
      <c r="A39" s="573"/>
      <c r="B39" s="19" t="s">
        <v>40</v>
      </c>
      <c r="C39" s="575" t="s">
        <v>404</v>
      </c>
      <c r="D39" s="576"/>
      <c r="E39" s="577"/>
      <c r="F39" s="49" t="s">
        <v>407</v>
      </c>
      <c r="G39" s="323">
        <v>171059382</v>
      </c>
      <c r="H39" s="323">
        <f>I39-G39</f>
        <v>0</v>
      </c>
      <c r="I39" s="323">
        <v>171059382</v>
      </c>
      <c r="J39" s="323">
        <f>435753+417721+795945+1911+23365+6695</f>
        <v>1681390</v>
      </c>
    </row>
    <row r="40" spans="1:10" ht="18" customHeight="1" thickBot="1" x14ac:dyDescent="0.25">
      <c r="A40" s="574"/>
      <c r="B40" s="578" t="s">
        <v>27</v>
      </c>
      <c r="C40" s="579"/>
      <c r="D40" s="579"/>
      <c r="E40" s="545"/>
      <c r="F40" s="51"/>
      <c r="G40" s="325">
        <f>G7+G10+G26+G39</f>
        <v>804612646</v>
      </c>
      <c r="H40" s="325">
        <f t="shared" ref="H40:J40" si="10">H7+H10+H26+H39</f>
        <v>274610</v>
      </c>
      <c r="I40" s="325">
        <f t="shared" si="10"/>
        <v>804887256</v>
      </c>
      <c r="J40" s="325">
        <f t="shared" si="10"/>
        <v>8237747</v>
      </c>
    </row>
    <row r="41" spans="1:10" ht="31.5" customHeight="1" x14ac:dyDescent="0.2">
      <c r="A41" s="559" t="s">
        <v>38</v>
      </c>
      <c r="B41" s="570" t="s">
        <v>2</v>
      </c>
      <c r="C41" s="571"/>
      <c r="D41" s="571"/>
      <c r="E41" s="571"/>
      <c r="F41" s="571"/>
      <c r="G41" s="571"/>
      <c r="H41" s="11"/>
      <c r="I41" s="2"/>
      <c r="J41" s="2"/>
    </row>
    <row r="42" spans="1:10" ht="15" customHeight="1" x14ac:dyDescent="0.2">
      <c r="A42" s="560"/>
      <c r="B42" s="557" t="s">
        <v>37</v>
      </c>
      <c r="C42" s="572" t="s">
        <v>3</v>
      </c>
      <c r="D42" s="572"/>
      <c r="E42" s="572"/>
      <c r="F42" s="40" t="s">
        <v>83</v>
      </c>
      <c r="G42" s="328">
        <f>G43+G46</f>
        <v>96876854</v>
      </c>
      <c r="H42" s="328">
        <f t="shared" ref="H42:J42" si="11">H43+H46</f>
        <v>0</v>
      </c>
      <c r="I42" s="328">
        <f t="shared" si="11"/>
        <v>96876854</v>
      </c>
      <c r="J42" s="328">
        <f t="shared" si="11"/>
        <v>0</v>
      </c>
    </row>
    <row r="43" spans="1:10" s="13" customFormat="1" ht="15" customHeight="1" x14ac:dyDescent="0.2">
      <c r="A43" s="560"/>
      <c r="B43" s="558"/>
      <c r="C43" s="38" t="s">
        <v>37</v>
      </c>
      <c r="D43" s="555" t="s">
        <v>4</v>
      </c>
      <c r="E43" s="556"/>
      <c r="F43" s="17" t="s">
        <v>84</v>
      </c>
      <c r="G43" s="329">
        <f>SUM(G44:G45)</f>
        <v>4907730</v>
      </c>
      <c r="H43" s="329">
        <f t="shared" ref="H43:J43" si="12">SUM(H44:H45)</f>
        <v>0</v>
      </c>
      <c r="I43" s="329">
        <f t="shared" si="12"/>
        <v>4907730</v>
      </c>
      <c r="J43" s="329">
        <f t="shared" si="12"/>
        <v>0</v>
      </c>
    </row>
    <row r="44" spans="1:10" ht="14.25" customHeight="1" x14ac:dyDescent="0.2">
      <c r="A44" s="560"/>
      <c r="B44" s="558"/>
      <c r="C44" s="58"/>
      <c r="D44" s="39" t="s">
        <v>37</v>
      </c>
      <c r="E44" s="2" t="s">
        <v>413</v>
      </c>
      <c r="F44" s="9"/>
      <c r="G44" s="327">
        <v>4907730</v>
      </c>
      <c r="H44" s="327">
        <f>I44-G44</f>
        <v>0</v>
      </c>
      <c r="I44" s="327">
        <v>4907730</v>
      </c>
      <c r="J44" s="327"/>
    </row>
    <row r="45" spans="1:10" s="26" customFormat="1" ht="12.75" x14ac:dyDescent="0.2">
      <c r="A45" s="560"/>
      <c r="B45" s="558"/>
      <c r="C45" s="16"/>
      <c r="D45" s="39"/>
      <c r="E45" s="8"/>
      <c r="F45" s="9"/>
      <c r="G45" s="327"/>
      <c r="H45" s="327"/>
      <c r="I45" s="327"/>
      <c r="J45" s="327"/>
    </row>
    <row r="46" spans="1:10" s="13" customFormat="1" ht="15" customHeight="1" x14ac:dyDescent="0.2">
      <c r="A46" s="560"/>
      <c r="B46" s="558"/>
      <c r="C46" s="557" t="s">
        <v>38</v>
      </c>
      <c r="D46" s="555" t="s">
        <v>5</v>
      </c>
      <c r="E46" s="556"/>
      <c r="F46" s="17" t="s">
        <v>83</v>
      </c>
      <c r="G46" s="329">
        <f>SUM(G47:G48)</f>
        <v>91969124</v>
      </c>
      <c r="H46" s="329">
        <f t="shared" ref="H46:J46" si="13">SUM(H47:H48)</f>
        <v>0</v>
      </c>
      <c r="I46" s="329">
        <f t="shared" si="13"/>
        <v>91969124</v>
      </c>
      <c r="J46" s="329">
        <f t="shared" si="13"/>
        <v>0</v>
      </c>
    </row>
    <row r="47" spans="1:10" s="13" customFormat="1" ht="15" customHeight="1" x14ac:dyDescent="0.2">
      <c r="A47" s="560"/>
      <c r="B47" s="558"/>
      <c r="C47" s="558"/>
      <c r="D47" s="39" t="s">
        <v>37</v>
      </c>
      <c r="E47" s="37" t="s">
        <v>414</v>
      </c>
      <c r="F47" s="48"/>
      <c r="G47" s="330">
        <f>15748031+70866142+1</f>
        <v>86614174</v>
      </c>
      <c r="H47" s="327">
        <f>I47-G47</f>
        <v>0</v>
      </c>
      <c r="I47" s="330">
        <v>86614174</v>
      </c>
      <c r="J47" s="330"/>
    </row>
    <row r="48" spans="1:10" s="13" customFormat="1" ht="15" customHeight="1" x14ac:dyDescent="0.2">
      <c r="A48" s="560"/>
      <c r="B48" s="558"/>
      <c r="C48" s="558"/>
      <c r="D48" s="39" t="s">
        <v>38</v>
      </c>
      <c r="E48" s="37" t="s">
        <v>415</v>
      </c>
      <c r="F48" s="48"/>
      <c r="G48" s="330">
        <v>5354950</v>
      </c>
      <c r="H48" s="327">
        <f>I48-G48</f>
        <v>0</v>
      </c>
      <c r="I48" s="330">
        <v>5354950</v>
      </c>
      <c r="J48" s="330"/>
    </row>
    <row r="49" spans="1:10" ht="15" customHeight="1" x14ac:dyDescent="0.2">
      <c r="A49" s="573"/>
      <c r="B49" s="585" t="s">
        <v>38</v>
      </c>
      <c r="C49" s="572" t="s">
        <v>408</v>
      </c>
      <c r="D49" s="572"/>
      <c r="E49" s="572"/>
      <c r="F49" s="40" t="s">
        <v>409</v>
      </c>
      <c r="G49" s="328">
        <f>SUM(G50:G50)</f>
        <v>0</v>
      </c>
      <c r="H49" s="328">
        <f t="shared" ref="H49:J49" si="14">SUM(H50:H50)</f>
        <v>0</v>
      </c>
      <c r="I49" s="328">
        <f t="shared" si="14"/>
        <v>0</v>
      </c>
      <c r="J49" s="328">
        <f t="shared" si="14"/>
        <v>0</v>
      </c>
    </row>
    <row r="50" spans="1:10" ht="15" customHeight="1" x14ac:dyDescent="0.2">
      <c r="A50" s="560"/>
      <c r="B50" s="585"/>
      <c r="C50" s="9" t="s">
        <v>37</v>
      </c>
      <c r="D50" s="586"/>
      <c r="E50" s="587"/>
      <c r="F50" s="9"/>
      <c r="G50" s="327"/>
      <c r="H50" s="327"/>
      <c r="I50" s="327"/>
      <c r="J50" s="327"/>
    </row>
    <row r="51" spans="1:10" s="13" customFormat="1" ht="15" customHeight="1" x14ac:dyDescent="0.2">
      <c r="A51" s="560"/>
      <c r="B51" s="16" t="s">
        <v>39</v>
      </c>
      <c r="C51" s="565" t="s">
        <v>410</v>
      </c>
      <c r="D51" s="566"/>
      <c r="E51" s="567"/>
      <c r="F51" s="40"/>
      <c r="G51" s="328">
        <v>0</v>
      </c>
      <c r="H51" s="328"/>
      <c r="I51" s="328"/>
      <c r="J51" s="328"/>
    </row>
    <row r="52" spans="1:10" s="13" customFormat="1" ht="15" customHeight="1" x14ac:dyDescent="0.2">
      <c r="A52" s="560"/>
      <c r="B52" s="308" t="s">
        <v>40</v>
      </c>
      <c r="C52" s="565" t="s">
        <v>411</v>
      </c>
      <c r="D52" s="589"/>
      <c r="E52" s="590"/>
      <c r="F52" s="326" t="s">
        <v>412</v>
      </c>
      <c r="G52" s="331">
        <v>26156750</v>
      </c>
      <c r="H52" s="331"/>
      <c r="I52" s="331">
        <v>26156750</v>
      </c>
      <c r="J52" s="331"/>
    </row>
    <row r="53" spans="1:10" ht="18" customHeight="1" thickBot="1" x14ac:dyDescent="0.25">
      <c r="A53" s="574"/>
      <c r="B53" s="588" t="s">
        <v>32</v>
      </c>
      <c r="C53" s="588"/>
      <c r="D53" s="588"/>
      <c r="E53" s="588"/>
      <c r="F53" s="52"/>
      <c r="G53" s="332">
        <f>G42+G49+G51+G52</f>
        <v>123033604</v>
      </c>
      <c r="H53" s="332">
        <f t="shared" ref="H53:J53" si="15">H42+H49+H51+H52</f>
        <v>0</v>
      </c>
      <c r="I53" s="332">
        <f t="shared" si="15"/>
        <v>123033604</v>
      </c>
      <c r="J53" s="332">
        <f t="shared" si="15"/>
        <v>0</v>
      </c>
    </row>
    <row r="54" spans="1:10" ht="26.25" customHeight="1" x14ac:dyDescent="0.2">
      <c r="A54" s="251" t="s">
        <v>39</v>
      </c>
      <c r="B54" s="273" t="s">
        <v>368</v>
      </c>
      <c r="C54" s="274"/>
      <c r="D54" s="274"/>
      <c r="E54" s="274"/>
      <c r="F54" s="274"/>
      <c r="G54" s="290"/>
      <c r="H54" s="290"/>
      <c r="I54" s="290"/>
      <c r="J54" s="290"/>
    </row>
    <row r="55" spans="1:10" ht="15" customHeight="1" x14ac:dyDescent="0.2">
      <c r="A55" s="251"/>
      <c r="B55" s="275" t="s">
        <v>37</v>
      </c>
      <c r="C55" s="565" t="s">
        <v>42</v>
      </c>
      <c r="D55" s="566"/>
      <c r="E55" s="567"/>
      <c r="F55" s="47" t="s">
        <v>76</v>
      </c>
      <c r="G55" s="322">
        <f>SUM(G56:G56)</f>
        <v>2000000</v>
      </c>
      <c r="H55" s="322">
        <f t="shared" ref="H55:J55" si="16">SUM(H56:H56)</f>
        <v>0</v>
      </c>
      <c r="I55" s="322">
        <f t="shared" si="16"/>
        <v>2000000</v>
      </c>
      <c r="J55" s="322">
        <f t="shared" si="16"/>
        <v>0</v>
      </c>
    </row>
    <row r="56" spans="1:10" s="13" customFormat="1" ht="15" customHeight="1" x14ac:dyDescent="0.2">
      <c r="A56" s="251"/>
      <c r="B56" s="276"/>
      <c r="C56" s="35" t="s">
        <v>37</v>
      </c>
      <c r="D56" s="555" t="s">
        <v>53</v>
      </c>
      <c r="E56" s="556"/>
      <c r="F56" s="48"/>
      <c r="G56" s="464">
        <v>2000000</v>
      </c>
      <c r="H56" s="327">
        <f>I56-G56</f>
        <v>0</v>
      </c>
      <c r="I56" s="309">
        <v>2000000</v>
      </c>
      <c r="J56" s="309">
        <v>0</v>
      </c>
    </row>
    <row r="57" spans="1:10" ht="18" customHeight="1" thickBot="1" x14ac:dyDescent="0.25">
      <c r="A57" s="251"/>
      <c r="B57" s="584" t="s">
        <v>22</v>
      </c>
      <c r="C57" s="584"/>
      <c r="D57" s="584"/>
      <c r="E57" s="584"/>
      <c r="F57" s="41"/>
      <c r="G57" s="333">
        <f>G55</f>
        <v>2000000</v>
      </c>
      <c r="H57" s="333">
        <f t="shared" ref="H57:J57" si="17">H55</f>
        <v>0</v>
      </c>
      <c r="I57" s="333">
        <f t="shared" si="17"/>
        <v>2000000</v>
      </c>
      <c r="J57" s="333">
        <f t="shared" si="17"/>
        <v>0</v>
      </c>
    </row>
    <row r="58" spans="1:10" s="280" customFormat="1" ht="15" customHeight="1" thickBot="1" x14ac:dyDescent="0.3">
      <c r="A58" s="277"/>
      <c r="B58" s="278"/>
      <c r="C58" s="281"/>
      <c r="D58" s="282"/>
      <c r="E58" s="283"/>
      <c r="F58" s="279"/>
      <c r="G58" s="334"/>
      <c r="H58" s="334"/>
      <c r="I58" s="334"/>
      <c r="J58" s="334"/>
    </row>
    <row r="59" spans="1:10" ht="21" customHeight="1" thickBot="1" x14ac:dyDescent="0.25">
      <c r="A59" s="57"/>
      <c r="B59" s="583" t="s">
        <v>367</v>
      </c>
      <c r="C59" s="583"/>
      <c r="D59" s="583"/>
      <c r="E59" s="583"/>
      <c r="F59" s="44"/>
      <c r="G59" s="335">
        <f>G40+G53+G57</f>
        <v>929646250</v>
      </c>
      <c r="H59" s="335">
        <f t="shared" ref="H59:J59" si="18">H40+H53+H57</f>
        <v>274610</v>
      </c>
      <c r="I59" s="335">
        <f t="shared" si="18"/>
        <v>929920860</v>
      </c>
      <c r="J59" s="335">
        <f t="shared" si="18"/>
        <v>8237747</v>
      </c>
    </row>
    <row r="64" spans="1:10" ht="21" customHeight="1" x14ac:dyDescent="0.2">
      <c r="A64" s="3"/>
    </row>
    <row r="65" spans="1:1" ht="15" customHeight="1" x14ac:dyDescent="0.2">
      <c r="A65" s="3"/>
    </row>
  </sheetData>
  <mergeCells count="47">
    <mergeCell ref="A49:A53"/>
    <mergeCell ref="B49:B50"/>
    <mergeCell ref="C49:E49"/>
    <mergeCell ref="D50:E50"/>
    <mergeCell ref="C51:E51"/>
    <mergeCell ref="B53:E53"/>
    <mergeCell ref="C52:E52"/>
    <mergeCell ref="D27:E27"/>
    <mergeCell ref="C30:C36"/>
    <mergeCell ref="D37:E37"/>
    <mergeCell ref="D38:E38"/>
    <mergeCell ref="B59:E59"/>
    <mergeCell ref="C55:E55"/>
    <mergeCell ref="D56:E56"/>
    <mergeCell ref="B57:E57"/>
    <mergeCell ref="C15:C16"/>
    <mergeCell ref="D15:E15"/>
    <mergeCell ref="C13:C14"/>
    <mergeCell ref="C28:C29"/>
    <mergeCell ref="A41:A48"/>
    <mergeCell ref="B41:G41"/>
    <mergeCell ref="B42:B48"/>
    <mergeCell ref="C42:E42"/>
    <mergeCell ref="D43:E43"/>
    <mergeCell ref="C46:C48"/>
    <mergeCell ref="D46:E46"/>
    <mergeCell ref="A39:A40"/>
    <mergeCell ref="C39:E39"/>
    <mergeCell ref="B40:E40"/>
    <mergeCell ref="B26:B38"/>
    <mergeCell ref="C26:E26"/>
    <mergeCell ref="A1:G1"/>
    <mergeCell ref="A2:F2"/>
    <mergeCell ref="A5:E5"/>
    <mergeCell ref="D13:E13"/>
    <mergeCell ref="C18:C24"/>
    <mergeCell ref="D18:E18"/>
    <mergeCell ref="A6:A38"/>
    <mergeCell ref="B6:G6"/>
    <mergeCell ref="B7:B9"/>
    <mergeCell ref="C7:E7"/>
    <mergeCell ref="D8:E8"/>
    <mergeCell ref="C10:E10"/>
    <mergeCell ref="D11:E11"/>
    <mergeCell ref="D30:E30"/>
    <mergeCell ref="D9:E9"/>
    <mergeCell ref="B10:B24"/>
  </mergeCells>
  <phoneticPr fontId="7" type="noConversion"/>
  <pageMargins left="0.70866141732283461" right="0.70866141732283461" top="0.74803149606299213" bottom="0.74803149606299213" header="0.31496062992125984" footer="0.31496062992125984"/>
  <pageSetup paperSize="9" scale="79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FF51-AA41-4F43-AE05-57A1FA665546}">
  <sheetPr>
    <pageSetUpPr fitToPage="1"/>
  </sheetPr>
  <dimension ref="A1:J20"/>
  <sheetViews>
    <sheetView workbookViewId="0">
      <selection sqref="A1:J1"/>
    </sheetView>
  </sheetViews>
  <sheetFormatPr defaultRowHeight="12.75" x14ac:dyDescent="0.2"/>
  <cols>
    <col min="1" max="1" width="5.85546875" style="292" customWidth="1"/>
    <col min="2" max="2" width="30.85546875" style="293" customWidth="1"/>
    <col min="3" max="3" width="14.5703125" style="293" customWidth="1"/>
    <col min="4" max="9" width="11" style="293" customWidth="1"/>
    <col min="10" max="10" width="11.85546875" style="293" customWidth="1"/>
    <col min="11" max="11" width="9.140625" style="293"/>
    <col min="12" max="13" width="11.140625" style="293" bestFit="1" customWidth="1"/>
    <col min="14" max="256" width="9.140625" style="293"/>
    <col min="257" max="257" width="5.85546875" style="293" customWidth="1"/>
    <col min="258" max="258" width="30.85546875" style="293" customWidth="1"/>
    <col min="259" max="259" width="14.5703125" style="293" customWidth="1"/>
    <col min="260" max="265" width="11" style="293" customWidth="1"/>
    <col min="266" max="266" width="11.85546875" style="293" customWidth="1"/>
    <col min="267" max="512" width="9.140625" style="293"/>
    <col min="513" max="513" width="5.85546875" style="293" customWidth="1"/>
    <col min="514" max="514" width="30.85546875" style="293" customWidth="1"/>
    <col min="515" max="515" width="14.5703125" style="293" customWidth="1"/>
    <col min="516" max="521" width="11" style="293" customWidth="1"/>
    <col min="522" max="522" width="11.85546875" style="293" customWidth="1"/>
    <col min="523" max="768" width="9.140625" style="293"/>
    <col min="769" max="769" width="5.85546875" style="293" customWidth="1"/>
    <col min="770" max="770" width="30.85546875" style="293" customWidth="1"/>
    <col min="771" max="771" width="14.5703125" style="293" customWidth="1"/>
    <col min="772" max="777" width="11" style="293" customWidth="1"/>
    <col min="778" max="778" width="11.85546875" style="293" customWidth="1"/>
    <col min="779" max="1024" width="9.140625" style="293"/>
    <col min="1025" max="1025" width="5.85546875" style="293" customWidth="1"/>
    <col min="1026" max="1026" width="30.85546875" style="293" customWidth="1"/>
    <col min="1027" max="1027" width="14.5703125" style="293" customWidth="1"/>
    <col min="1028" max="1033" width="11" style="293" customWidth="1"/>
    <col min="1034" max="1034" width="11.85546875" style="293" customWidth="1"/>
    <col min="1035" max="1280" width="9.140625" style="293"/>
    <col min="1281" max="1281" width="5.85546875" style="293" customWidth="1"/>
    <col min="1282" max="1282" width="30.85546875" style="293" customWidth="1"/>
    <col min="1283" max="1283" width="14.5703125" style="293" customWidth="1"/>
    <col min="1284" max="1289" width="11" style="293" customWidth="1"/>
    <col min="1290" max="1290" width="11.85546875" style="293" customWidth="1"/>
    <col min="1291" max="1536" width="9.140625" style="293"/>
    <col min="1537" max="1537" width="5.85546875" style="293" customWidth="1"/>
    <col min="1538" max="1538" width="30.85546875" style="293" customWidth="1"/>
    <col min="1539" max="1539" width="14.5703125" style="293" customWidth="1"/>
    <col min="1540" max="1545" width="11" style="293" customWidth="1"/>
    <col min="1546" max="1546" width="11.85546875" style="293" customWidth="1"/>
    <col min="1547" max="1792" width="9.140625" style="293"/>
    <col min="1793" max="1793" width="5.85546875" style="293" customWidth="1"/>
    <col min="1794" max="1794" width="30.85546875" style="293" customWidth="1"/>
    <col min="1795" max="1795" width="14.5703125" style="293" customWidth="1"/>
    <col min="1796" max="1801" width="11" style="293" customWidth="1"/>
    <col min="1802" max="1802" width="11.85546875" style="293" customWidth="1"/>
    <col min="1803" max="2048" width="9.140625" style="293"/>
    <col min="2049" max="2049" width="5.85546875" style="293" customWidth="1"/>
    <col min="2050" max="2050" width="30.85546875" style="293" customWidth="1"/>
    <col min="2051" max="2051" width="14.5703125" style="293" customWidth="1"/>
    <col min="2052" max="2057" width="11" style="293" customWidth="1"/>
    <col min="2058" max="2058" width="11.85546875" style="293" customWidth="1"/>
    <col min="2059" max="2304" width="9.140625" style="293"/>
    <col min="2305" max="2305" width="5.85546875" style="293" customWidth="1"/>
    <col min="2306" max="2306" width="30.85546875" style="293" customWidth="1"/>
    <col min="2307" max="2307" width="14.5703125" style="293" customWidth="1"/>
    <col min="2308" max="2313" width="11" style="293" customWidth="1"/>
    <col min="2314" max="2314" width="11.85546875" style="293" customWidth="1"/>
    <col min="2315" max="2560" width="9.140625" style="293"/>
    <col min="2561" max="2561" width="5.85546875" style="293" customWidth="1"/>
    <col min="2562" max="2562" width="30.85546875" style="293" customWidth="1"/>
    <col min="2563" max="2563" width="14.5703125" style="293" customWidth="1"/>
    <col min="2564" max="2569" width="11" style="293" customWidth="1"/>
    <col min="2570" max="2570" width="11.85546875" style="293" customWidth="1"/>
    <col min="2571" max="2816" width="9.140625" style="293"/>
    <col min="2817" max="2817" width="5.85546875" style="293" customWidth="1"/>
    <col min="2818" max="2818" width="30.85546875" style="293" customWidth="1"/>
    <col min="2819" max="2819" width="14.5703125" style="293" customWidth="1"/>
    <col min="2820" max="2825" width="11" style="293" customWidth="1"/>
    <col min="2826" max="2826" width="11.85546875" style="293" customWidth="1"/>
    <col min="2827" max="3072" width="9.140625" style="293"/>
    <col min="3073" max="3073" width="5.85546875" style="293" customWidth="1"/>
    <col min="3074" max="3074" width="30.85546875" style="293" customWidth="1"/>
    <col min="3075" max="3075" width="14.5703125" style="293" customWidth="1"/>
    <col min="3076" max="3081" width="11" style="293" customWidth="1"/>
    <col min="3082" max="3082" width="11.85546875" style="293" customWidth="1"/>
    <col min="3083" max="3328" width="9.140625" style="293"/>
    <col min="3329" max="3329" width="5.85546875" style="293" customWidth="1"/>
    <col min="3330" max="3330" width="30.85546875" style="293" customWidth="1"/>
    <col min="3331" max="3331" width="14.5703125" style="293" customWidth="1"/>
    <col min="3332" max="3337" width="11" style="293" customWidth="1"/>
    <col min="3338" max="3338" width="11.85546875" style="293" customWidth="1"/>
    <col min="3339" max="3584" width="9.140625" style="293"/>
    <col min="3585" max="3585" width="5.85546875" style="293" customWidth="1"/>
    <col min="3586" max="3586" width="30.85546875" style="293" customWidth="1"/>
    <col min="3587" max="3587" width="14.5703125" style="293" customWidth="1"/>
    <col min="3588" max="3593" width="11" style="293" customWidth="1"/>
    <col min="3594" max="3594" width="11.85546875" style="293" customWidth="1"/>
    <col min="3595" max="3840" width="9.140625" style="293"/>
    <col min="3841" max="3841" width="5.85546875" style="293" customWidth="1"/>
    <col min="3842" max="3842" width="30.85546875" style="293" customWidth="1"/>
    <col min="3843" max="3843" width="14.5703125" style="293" customWidth="1"/>
    <col min="3844" max="3849" width="11" style="293" customWidth="1"/>
    <col min="3850" max="3850" width="11.85546875" style="293" customWidth="1"/>
    <col min="3851" max="4096" width="9.140625" style="293"/>
    <col min="4097" max="4097" width="5.85546875" style="293" customWidth="1"/>
    <col min="4098" max="4098" width="30.85546875" style="293" customWidth="1"/>
    <col min="4099" max="4099" width="14.5703125" style="293" customWidth="1"/>
    <col min="4100" max="4105" width="11" style="293" customWidth="1"/>
    <col min="4106" max="4106" width="11.85546875" style="293" customWidth="1"/>
    <col min="4107" max="4352" width="9.140625" style="293"/>
    <col min="4353" max="4353" width="5.85546875" style="293" customWidth="1"/>
    <col min="4354" max="4354" width="30.85546875" style="293" customWidth="1"/>
    <col min="4355" max="4355" width="14.5703125" style="293" customWidth="1"/>
    <col min="4356" max="4361" width="11" style="293" customWidth="1"/>
    <col min="4362" max="4362" width="11.85546875" style="293" customWidth="1"/>
    <col min="4363" max="4608" width="9.140625" style="293"/>
    <col min="4609" max="4609" width="5.85546875" style="293" customWidth="1"/>
    <col min="4610" max="4610" width="30.85546875" style="293" customWidth="1"/>
    <col min="4611" max="4611" width="14.5703125" style="293" customWidth="1"/>
    <col min="4612" max="4617" width="11" style="293" customWidth="1"/>
    <col min="4618" max="4618" width="11.85546875" style="293" customWidth="1"/>
    <col min="4619" max="4864" width="9.140625" style="293"/>
    <col min="4865" max="4865" width="5.85546875" style="293" customWidth="1"/>
    <col min="4866" max="4866" width="30.85546875" style="293" customWidth="1"/>
    <col min="4867" max="4867" width="14.5703125" style="293" customWidth="1"/>
    <col min="4868" max="4873" width="11" style="293" customWidth="1"/>
    <col min="4874" max="4874" width="11.85546875" style="293" customWidth="1"/>
    <col min="4875" max="5120" width="9.140625" style="293"/>
    <col min="5121" max="5121" width="5.85546875" style="293" customWidth="1"/>
    <col min="5122" max="5122" width="30.85546875" style="293" customWidth="1"/>
    <col min="5123" max="5123" width="14.5703125" style="293" customWidth="1"/>
    <col min="5124" max="5129" width="11" style="293" customWidth="1"/>
    <col min="5130" max="5130" width="11.85546875" style="293" customWidth="1"/>
    <col min="5131" max="5376" width="9.140625" style="293"/>
    <col min="5377" max="5377" width="5.85546875" style="293" customWidth="1"/>
    <col min="5378" max="5378" width="30.85546875" style="293" customWidth="1"/>
    <col min="5379" max="5379" width="14.5703125" style="293" customWidth="1"/>
    <col min="5380" max="5385" width="11" style="293" customWidth="1"/>
    <col min="5386" max="5386" width="11.85546875" style="293" customWidth="1"/>
    <col min="5387" max="5632" width="9.140625" style="293"/>
    <col min="5633" max="5633" width="5.85546875" style="293" customWidth="1"/>
    <col min="5634" max="5634" width="30.85546875" style="293" customWidth="1"/>
    <col min="5635" max="5635" width="14.5703125" style="293" customWidth="1"/>
    <col min="5636" max="5641" width="11" style="293" customWidth="1"/>
    <col min="5642" max="5642" width="11.85546875" style="293" customWidth="1"/>
    <col min="5643" max="5888" width="9.140625" style="293"/>
    <col min="5889" max="5889" width="5.85546875" style="293" customWidth="1"/>
    <col min="5890" max="5890" width="30.85546875" style="293" customWidth="1"/>
    <col min="5891" max="5891" width="14.5703125" style="293" customWidth="1"/>
    <col min="5892" max="5897" width="11" style="293" customWidth="1"/>
    <col min="5898" max="5898" width="11.85546875" style="293" customWidth="1"/>
    <col min="5899" max="6144" width="9.140625" style="293"/>
    <col min="6145" max="6145" width="5.85546875" style="293" customWidth="1"/>
    <col min="6146" max="6146" width="30.85546875" style="293" customWidth="1"/>
    <col min="6147" max="6147" width="14.5703125" style="293" customWidth="1"/>
    <col min="6148" max="6153" width="11" style="293" customWidth="1"/>
    <col min="6154" max="6154" width="11.85546875" style="293" customWidth="1"/>
    <col min="6155" max="6400" width="9.140625" style="293"/>
    <col min="6401" max="6401" width="5.85546875" style="293" customWidth="1"/>
    <col min="6402" max="6402" width="30.85546875" style="293" customWidth="1"/>
    <col min="6403" max="6403" width="14.5703125" style="293" customWidth="1"/>
    <col min="6404" max="6409" width="11" style="293" customWidth="1"/>
    <col min="6410" max="6410" width="11.85546875" style="293" customWidth="1"/>
    <col min="6411" max="6656" width="9.140625" style="293"/>
    <col min="6657" max="6657" width="5.85546875" style="293" customWidth="1"/>
    <col min="6658" max="6658" width="30.85546875" style="293" customWidth="1"/>
    <col min="6659" max="6659" width="14.5703125" style="293" customWidth="1"/>
    <col min="6660" max="6665" width="11" style="293" customWidth="1"/>
    <col min="6666" max="6666" width="11.85546875" style="293" customWidth="1"/>
    <col min="6667" max="6912" width="9.140625" style="293"/>
    <col min="6913" max="6913" width="5.85546875" style="293" customWidth="1"/>
    <col min="6914" max="6914" width="30.85546875" style="293" customWidth="1"/>
    <col min="6915" max="6915" width="14.5703125" style="293" customWidth="1"/>
    <col min="6916" max="6921" width="11" style="293" customWidth="1"/>
    <col min="6922" max="6922" width="11.85546875" style="293" customWidth="1"/>
    <col min="6923" max="7168" width="9.140625" style="293"/>
    <col min="7169" max="7169" width="5.85546875" style="293" customWidth="1"/>
    <col min="7170" max="7170" width="30.85546875" style="293" customWidth="1"/>
    <col min="7171" max="7171" width="14.5703125" style="293" customWidth="1"/>
    <col min="7172" max="7177" width="11" style="293" customWidth="1"/>
    <col min="7178" max="7178" width="11.85546875" style="293" customWidth="1"/>
    <col min="7179" max="7424" width="9.140625" style="293"/>
    <col min="7425" max="7425" width="5.85546875" style="293" customWidth="1"/>
    <col min="7426" max="7426" width="30.85546875" style="293" customWidth="1"/>
    <col min="7427" max="7427" width="14.5703125" style="293" customWidth="1"/>
    <col min="7428" max="7433" width="11" style="293" customWidth="1"/>
    <col min="7434" max="7434" width="11.85546875" style="293" customWidth="1"/>
    <col min="7435" max="7680" width="9.140625" style="293"/>
    <col min="7681" max="7681" width="5.85546875" style="293" customWidth="1"/>
    <col min="7682" max="7682" width="30.85546875" style="293" customWidth="1"/>
    <col min="7683" max="7683" width="14.5703125" style="293" customWidth="1"/>
    <col min="7684" max="7689" width="11" style="293" customWidth="1"/>
    <col min="7690" max="7690" width="11.85546875" style="293" customWidth="1"/>
    <col min="7691" max="7936" width="9.140625" style="293"/>
    <col min="7937" max="7937" width="5.85546875" style="293" customWidth="1"/>
    <col min="7938" max="7938" width="30.85546875" style="293" customWidth="1"/>
    <col min="7939" max="7939" width="14.5703125" style="293" customWidth="1"/>
    <col min="7940" max="7945" width="11" style="293" customWidth="1"/>
    <col min="7946" max="7946" width="11.85546875" style="293" customWidth="1"/>
    <col min="7947" max="8192" width="9.140625" style="293"/>
    <col min="8193" max="8193" width="5.85546875" style="293" customWidth="1"/>
    <col min="8194" max="8194" width="30.85546875" style="293" customWidth="1"/>
    <col min="8195" max="8195" width="14.5703125" style="293" customWidth="1"/>
    <col min="8196" max="8201" width="11" style="293" customWidth="1"/>
    <col min="8202" max="8202" width="11.85546875" style="293" customWidth="1"/>
    <col min="8203" max="8448" width="9.140625" style="293"/>
    <col min="8449" max="8449" width="5.85546875" style="293" customWidth="1"/>
    <col min="8450" max="8450" width="30.85546875" style="293" customWidth="1"/>
    <col min="8451" max="8451" width="14.5703125" style="293" customWidth="1"/>
    <col min="8452" max="8457" width="11" style="293" customWidth="1"/>
    <col min="8458" max="8458" width="11.85546875" style="293" customWidth="1"/>
    <col min="8459" max="8704" width="9.140625" style="293"/>
    <col min="8705" max="8705" width="5.85546875" style="293" customWidth="1"/>
    <col min="8706" max="8706" width="30.85546875" style="293" customWidth="1"/>
    <col min="8707" max="8707" width="14.5703125" style="293" customWidth="1"/>
    <col min="8708" max="8713" width="11" style="293" customWidth="1"/>
    <col min="8714" max="8714" width="11.85546875" style="293" customWidth="1"/>
    <col min="8715" max="8960" width="9.140625" style="293"/>
    <col min="8961" max="8961" width="5.85546875" style="293" customWidth="1"/>
    <col min="8962" max="8962" width="30.85546875" style="293" customWidth="1"/>
    <col min="8963" max="8963" width="14.5703125" style="293" customWidth="1"/>
    <col min="8964" max="8969" width="11" style="293" customWidth="1"/>
    <col min="8970" max="8970" width="11.85546875" style="293" customWidth="1"/>
    <col min="8971" max="9216" width="9.140625" style="293"/>
    <col min="9217" max="9217" width="5.85546875" style="293" customWidth="1"/>
    <col min="9218" max="9218" width="30.85546875" style="293" customWidth="1"/>
    <col min="9219" max="9219" width="14.5703125" style="293" customWidth="1"/>
    <col min="9220" max="9225" width="11" style="293" customWidth="1"/>
    <col min="9226" max="9226" width="11.85546875" style="293" customWidth="1"/>
    <col min="9227" max="9472" width="9.140625" style="293"/>
    <col min="9473" max="9473" width="5.85546875" style="293" customWidth="1"/>
    <col min="9474" max="9474" width="30.85546875" style="293" customWidth="1"/>
    <col min="9475" max="9475" width="14.5703125" style="293" customWidth="1"/>
    <col min="9476" max="9481" width="11" style="293" customWidth="1"/>
    <col min="9482" max="9482" width="11.85546875" style="293" customWidth="1"/>
    <col min="9483" max="9728" width="9.140625" style="293"/>
    <col min="9729" max="9729" width="5.85546875" style="293" customWidth="1"/>
    <col min="9730" max="9730" width="30.85546875" style="293" customWidth="1"/>
    <col min="9731" max="9731" width="14.5703125" style="293" customWidth="1"/>
    <col min="9732" max="9737" width="11" style="293" customWidth="1"/>
    <col min="9738" max="9738" width="11.85546875" style="293" customWidth="1"/>
    <col min="9739" max="9984" width="9.140625" style="293"/>
    <col min="9985" max="9985" width="5.85546875" style="293" customWidth="1"/>
    <col min="9986" max="9986" width="30.85546875" style="293" customWidth="1"/>
    <col min="9987" max="9987" width="14.5703125" style="293" customWidth="1"/>
    <col min="9988" max="9993" width="11" style="293" customWidth="1"/>
    <col min="9994" max="9994" width="11.85546875" style="293" customWidth="1"/>
    <col min="9995" max="10240" width="9.140625" style="293"/>
    <col min="10241" max="10241" width="5.85546875" style="293" customWidth="1"/>
    <col min="10242" max="10242" width="30.85546875" style="293" customWidth="1"/>
    <col min="10243" max="10243" width="14.5703125" style="293" customWidth="1"/>
    <col min="10244" max="10249" width="11" style="293" customWidth="1"/>
    <col min="10250" max="10250" width="11.85546875" style="293" customWidth="1"/>
    <col min="10251" max="10496" width="9.140625" style="293"/>
    <col min="10497" max="10497" width="5.85546875" style="293" customWidth="1"/>
    <col min="10498" max="10498" width="30.85546875" style="293" customWidth="1"/>
    <col min="10499" max="10499" width="14.5703125" style="293" customWidth="1"/>
    <col min="10500" max="10505" width="11" style="293" customWidth="1"/>
    <col min="10506" max="10506" width="11.85546875" style="293" customWidth="1"/>
    <col min="10507" max="10752" width="9.140625" style="293"/>
    <col min="10753" max="10753" width="5.85546875" style="293" customWidth="1"/>
    <col min="10754" max="10754" width="30.85546875" style="293" customWidth="1"/>
    <col min="10755" max="10755" width="14.5703125" style="293" customWidth="1"/>
    <col min="10756" max="10761" width="11" style="293" customWidth="1"/>
    <col min="10762" max="10762" width="11.85546875" style="293" customWidth="1"/>
    <col min="10763" max="11008" width="9.140625" style="293"/>
    <col min="11009" max="11009" width="5.85546875" style="293" customWidth="1"/>
    <col min="11010" max="11010" width="30.85546875" style="293" customWidth="1"/>
    <col min="11011" max="11011" width="14.5703125" style="293" customWidth="1"/>
    <col min="11012" max="11017" width="11" style="293" customWidth="1"/>
    <col min="11018" max="11018" width="11.85546875" style="293" customWidth="1"/>
    <col min="11019" max="11264" width="9.140625" style="293"/>
    <col min="11265" max="11265" width="5.85546875" style="293" customWidth="1"/>
    <col min="11266" max="11266" width="30.85546875" style="293" customWidth="1"/>
    <col min="11267" max="11267" width="14.5703125" style="293" customWidth="1"/>
    <col min="11268" max="11273" width="11" style="293" customWidth="1"/>
    <col min="11274" max="11274" width="11.85546875" style="293" customWidth="1"/>
    <col min="11275" max="11520" width="9.140625" style="293"/>
    <col min="11521" max="11521" width="5.85546875" style="293" customWidth="1"/>
    <col min="11522" max="11522" width="30.85546875" style="293" customWidth="1"/>
    <col min="11523" max="11523" width="14.5703125" style="293" customWidth="1"/>
    <col min="11524" max="11529" width="11" style="293" customWidth="1"/>
    <col min="11530" max="11530" width="11.85546875" style="293" customWidth="1"/>
    <col min="11531" max="11776" width="9.140625" style="293"/>
    <col min="11777" max="11777" width="5.85546875" style="293" customWidth="1"/>
    <col min="11778" max="11778" width="30.85546875" style="293" customWidth="1"/>
    <col min="11779" max="11779" width="14.5703125" style="293" customWidth="1"/>
    <col min="11780" max="11785" width="11" style="293" customWidth="1"/>
    <col min="11786" max="11786" width="11.85546875" style="293" customWidth="1"/>
    <col min="11787" max="12032" width="9.140625" style="293"/>
    <col min="12033" max="12033" width="5.85546875" style="293" customWidth="1"/>
    <col min="12034" max="12034" width="30.85546875" style="293" customWidth="1"/>
    <col min="12035" max="12035" width="14.5703125" style="293" customWidth="1"/>
    <col min="12036" max="12041" width="11" style="293" customWidth="1"/>
    <col min="12042" max="12042" width="11.85546875" style="293" customWidth="1"/>
    <col min="12043" max="12288" width="9.140625" style="293"/>
    <col min="12289" max="12289" width="5.85546875" style="293" customWidth="1"/>
    <col min="12290" max="12290" width="30.85546875" style="293" customWidth="1"/>
    <col min="12291" max="12291" width="14.5703125" style="293" customWidth="1"/>
    <col min="12292" max="12297" width="11" style="293" customWidth="1"/>
    <col min="12298" max="12298" width="11.85546875" style="293" customWidth="1"/>
    <col min="12299" max="12544" width="9.140625" style="293"/>
    <col min="12545" max="12545" width="5.85546875" style="293" customWidth="1"/>
    <col min="12546" max="12546" width="30.85546875" style="293" customWidth="1"/>
    <col min="12547" max="12547" width="14.5703125" style="293" customWidth="1"/>
    <col min="12548" max="12553" width="11" style="293" customWidth="1"/>
    <col min="12554" max="12554" width="11.85546875" style="293" customWidth="1"/>
    <col min="12555" max="12800" width="9.140625" style="293"/>
    <col min="12801" max="12801" width="5.85546875" style="293" customWidth="1"/>
    <col min="12802" max="12802" width="30.85546875" style="293" customWidth="1"/>
    <col min="12803" max="12803" width="14.5703125" style="293" customWidth="1"/>
    <col min="12804" max="12809" width="11" style="293" customWidth="1"/>
    <col min="12810" max="12810" width="11.85546875" style="293" customWidth="1"/>
    <col min="12811" max="13056" width="9.140625" style="293"/>
    <col min="13057" max="13057" width="5.85546875" style="293" customWidth="1"/>
    <col min="13058" max="13058" width="30.85546875" style="293" customWidth="1"/>
    <col min="13059" max="13059" width="14.5703125" style="293" customWidth="1"/>
    <col min="13060" max="13065" width="11" style="293" customWidth="1"/>
    <col min="13066" max="13066" width="11.85546875" style="293" customWidth="1"/>
    <col min="13067" max="13312" width="9.140625" style="293"/>
    <col min="13313" max="13313" width="5.85546875" style="293" customWidth="1"/>
    <col min="13314" max="13314" width="30.85546875" style="293" customWidth="1"/>
    <col min="13315" max="13315" width="14.5703125" style="293" customWidth="1"/>
    <col min="13316" max="13321" width="11" style="293" customWidth="1"/>
    <col min="13322" max="13322" width="11.85546875" style="293" customWidth="1"/>
    <col min="13323" max="13568" width="9.140625" style="293"/>
    <col min="13569" max="13569" width="5.85546875" style="293" customWidth="1"/>
    <col min="13570" max="13570" width="30.85546875" style="293" customWidth="1"/>
    <col min="13571" max="13571" width="14.5703125" style="293" customWidth="1"/>
    <col min="13572" max="13577" width="11" style="293" customWidth="1"/>
    <col min="13578" max="13578" width="11.85546875" style="293" customWidth="1"/>
    <col min="13579" max="13824" width="9.140625" style="293"/>
    <col min="13825" max="13825" width="5.85546875" style="293" customWidth="1"/>
    <col min="13826" max="13826" width="30.85546875" style="293" customWidth="1"/>
    <col min="13827" max="13827" width="14.5703125" style="293" customWidth="1"/>
    <col min="13828" max="13833" width="11" style="293" customWidth="1"/>
    <col min="13834" max="13834" width="11.85546875" style="293" customWidth="1"/>
    <col min="13835" max="14080" width="9.140625" style="293"/>
    <col min="14081" max="14081" width="5.85546875" style="293" customWidth="1"/>
    <col min="14082" max="14082" width="30.85546875" style="293" customWidth="1"/>
    <col min="14083" max="14083" width="14.5703125" style="293" customWidth="1"/>
    <col min="14084" max="14089" width="11" style="293" customWidth="1"/>
    <col min="14090" max="14090" width="11.85546875" style="293" customWidth="1"/>
    <col min="14091" max="14336" width="9.140625" style="293"/>
    <col min="14337" max="14337" width="5.85546875" style="293" customWidth="1"/>
    <col min="14338" max="14338" width="30.85546875" style="293" customWidth="1"/>
    <col min="14339" max="14339" width="14.5703125" style="293" customWidth="1"/>
    <col min="14340" max="14345" width="11" style="293" customWidth="1"/>
    <col min="14346" max="14346" width="11.85546875" style="293" customWidth="1"/>
    <col min="14347" max="14592" width="9.140625" style="293"/>
    <col min="14593" max="14593" width="5.85546875" style="293" customWidth="1"/>
    <col min="14594" max="14594" width="30.85546875" style="293" customWidth="1"/>
    <col min="14595" max="14595" width="14.5703125" style="293" customWidth="1"/>
    <col min="14596" max="14601" width="11" style="293" customWidth="1"/>
    <col min="14602" max="14602" width="11.85546875" style="293" customWidth="1"/>
    <col min="14603" max="14848" width="9.140625" style="293"/>
    <col min="14849" max="14849" width="5.85546875" style="293" customWidth="1"/>
    <col min="14850" max="14850" width="30.85546875" style="293" customWidth="1"/>
    <col min="14851" max="14851" width="14.5703125" style="293" customWidth="1"/>
    <col min="14852" max="14857" width="11" style="293" customWidth="1"/>
    <col min="14858" max="14858" width="11.85546875" style="293" customWidth="1"/>
    <col min="14859" max="15104" width="9.140625" style="293"/>
    <col min="15105" max="15105" width="5.85546875" style="293" customWidth="1"/>
    <col min="15106" max="15106" width="30.85546875" style="293" customWidth="1"/>
    <col min="15107" max="15107" width="14.5703125" style="293" customWidth="1"/>
    <col min="15108" max="15113" width="11" style="293" customWidth="1"/>
    <col min="15114" max="15114" width="11.85546875" style="293" customWidth="1"/>
    <col min="15115" max="15360" width="9.140625" style="293"/>
    <col min="15361" max="15361" width="5.85546875" style="293" customWidth="1"/>
    <col min="15362" max="15362" width="30.85546875" style="293" customWidth="1"/>
    <col min="15363" max="15363" width="14.5703125" style="293" customWidth="1"/>
    <col min="15364" max="15369" width="11" style="293" customWidth="1"/>
    <col min="15370" max="15370" width="11.85546875" style="293" customWidth="1"/>
    <col min="15371" max="15616" width="9.140625" style="293"/>
    <col min="15617" max="15617" width="5.85546875" style="293" customWidth="1"/>
    <col min="15618" max="15618" width="30.85546875" style="293" customWidth="1"/>
    <col min="15619" max="15619" width="14.5703125" style="293" customWidth="1"/>
    <col min="15620" max="15625" width="11" style="293" customWidth="1"/>
    <col min="15626" max="15626" width="11.85546875" style="293" customWidth="1"/>
    <col min="15627" max="15872" width="9.140625" style="293"/>
    <col min="15873" max="15873" width="5.85546875" style="293" customWidth="1"/>
    <col min="15874" max="15874" width="30.85546875" style="293" customWidth="1"/>
    <col min="15875" max="15875" width="14.5703125" style="293" customWidth="1"/>
    <col min="15876" max="15881" width="11" style="293" customWidth="1"/>
    <col min="15882" max="15882" width="11.85546875" style="293" customWidth="1"/>
    <col min="15883" max="16128" width="9.140625" style="293"/>
    <col min="16129" max="16129" width="5.85546875" style="293" customWidth="1"/>
    <col min="16130" max="16130" width="30.85546875" style="293" customWidth="1"/>
    <col min="16131" max="16131" width="14.5703125" style="293" customWidth="1"/>
    <col min="16132" max="16137" width="11" style="293" customWidth="1"/>
    <col min="16138" max="16138" width="11.85546875" style="293" customWidth="1"/>
    <col min="16139" max="16384" width="9.140625" style="293"/>
  </cols>
  <sheetData>
    <row r="1" spans="1:10" ht="21" customHeight="1" x14ac:dyDescent="0.2">
      <c r="A1" s="465" t="s">
        <v>375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0" ht="13.5" thickBot="1" x14ac:dyDescent="0.25">
      <c r="J2" s="297" t="s">
        <v>380</v>
      </c>
    </row>
    <row r="3" spans="1:10" s="207" customFormat="1" ht="14.25" x14ac:dyDescent="0.2">
      <c r="A3" s="593" t="s">
        <v>100</v>
      </c>
      <c r="B3" s="595" t="s">
        <v>291</v>
      </c>
      <c r="C3" s="595" t="s">
        <v>292</v>
      </c>
      <c r="D3" s="595" t="s">
        <v>293</v>
      </c>
      <c r="E3" s="595" t="s">
        <v>377</v>
      </c>
      <c r="F3" s="204" t="s">
        <v>294</v>
      </c>
      <c r="G3" s="205"/>
      <c r="H3" s="205"/>
      <c r="I3" s="206"/>
      <c r="J3" s="591" t="s">
        <v>295</v>
      </c>
    </row>
    <row r="4" spans="1:10" s="211" customFormat="1" ht="24.75" thickBot="1" x14ac:dyDescent="0.25">
      <c r="A4" s="594"/>
      <c r="B4" s="596"/>
      <c r="C4" s="596"/>
      <c r="D4" s="597"/>
      <c r="E4" s="597"/>
      <c r="F4" s="208" t="s">
        <v>307</v>
      </c>
      <c r="G4" s="209" t="s">
        <v>308</v>
      </c>
      <c r="H4" s="209" t="s">
        <v>378</v>
      </c>
      <c r="I4" s="210" t="s">
        <v>379</v>
      </c>
      <c r="J4" s="592"/>
    </row>
    <row r="5" spans="1:10" s="216" customFormat="1" ht="11.25" thickBot="1" x14ac:dyDescent="0.25">
      <c r="A5" s="212">
        <v>1</v>
      </c>
      <c r="B5" s="213">
        <v>2</v>
      </c>
      <c r="C5" s="214">
        <v>3</v>
      </c>
      <c r="D5" s="214">
        <v>4</v>
      </c>
      <c r="E5" s="214">
        <v>5</v>
      </c>
      <c r="F5" s="214">
        <v>6</v>
      </c>
      <c r="G5" s="214">
        <v>7</v>
      </c>
      <c r="H5" s="214">
        <v>8</v>
      </c>
      <c r="I5" s="214">
        <v>9</v>
      </c>
      <c r="J5" s="215" t="s">
        <v>296</v>
      </c>
    </row>
    <row r="6" spans="1:10" ht="21" x14ac:dyDescent="0.2">
      <c r="A6" s="217" t="s">
        <v>37</v>
      </c>
      <c r="B6" s="218" t="s">
        <v>297</v>
      </c>
      <c r="C6" s="219"/>
      <c r="D6" s="220">
        <f t="shared" ref="D6:I6" si="0">SUM(D7:D8)</f>
        <v>0</v>
      </c>
      <c r="E6" s="220">
        <f t="shared" si="0"/>
        <v>0</v>
      </c>
      <c r="F6" s="220">
        <f t="shared" si="0"/>
        <v>0</v>
      </c>
      <c r="G6" s="220">
        <f t="shared" si="0"/>
        <v>0</v>
      </c>
      <c r="H6" s="220">
        <f t="shared" si="0"/>
        <v>0</v>
      </c>
      <c r="I6" s="221">
        <f t="shared" si="0"/>
        <v>0</v>
      </c>
      <c r="J6" s="222">
        <f t="shared" ref="J6:J19" si="1">SUM(F6:I6)</f>
        <v>0</v>
      </c>
    </row>
    <row r="7" spans="1:10" x14ac:dyDescent="0.2">
      <c r="A7" s="223" t="s">
        <v>38</v>
      </c>
      <c r="B7" s="224" t="s">
        <v>298</v>
      </c>
      <c r="C7" s="225"/>
      <c r="D7" s="226"/>
      <c r="E7" s="226"/>
      <c r="F7" s="226"/>
      <c r="G7" s="226"/>
      <c r="H7" s="226"/>
      <c r="I7" s="227"/>
      <c r="J7" s="228">
        <f t="shared" si="1"/>
        <v>0</v>
      </c>
    </row>
    <row r="8" spans="1:10" x14ac:dyDescent="0.2">
      <c r="A8" s="223" t="s">
        <v>39</v>
      </c>
      <c r="B8" s="224" t="s">
        <v>298</v>
      </c>
      <c r="C8" s="225"/>
      <c r="D8" s="226"/>
      <c r="E8" s="226"/>
      <c r="F8" s="226"/>
      <c r="G8" s="226"/>
      <c r="H8" s="226"/>
      <c r="I8" s="227"/>
      <c r="J8" s="228">
        <f t="shared" si="1"/>
        <v>0</v>
      </c>
    </row>
    <row r="9" spans="1:10" ht="21" x14ac:dyDescent="0.2">
      <c r="A9" s="223" t="s">
        <v>40</v>
      </c>
      <c r="B9" s="229" t="s">
        <v>299</v>
      </c>
      <c r="C9" s="230"/>
      <c r="D9" s="231">
        <f t="shared" ref="D9:I9" si="2">SUM(D10:D11)</f>
        <v>786665991</v>
      </c>
      <c r="E9" s="231">
        <f t="shared" si="2"/>
        <v>14396417</v>
      </c>
      <c r="F9" s="231">
        <f t="shared" si="2"/>
        <v>19177708</v>
      </c>
      <c r="G9" s="231">
        <f t="shared" si="2"/>
        <v>67552771</v>
      </c>
      <c r="H9" s="231">
        <f t="shared" si="2"/>
        <v>82016443</v>
      </c>
      <c r="I9" s="232">
        <f t="shared" si="2"/>
        <v>603522652</v>
      </c>
      <c r="J9" s="233">
        <f>SUM(F9:I9)</f>
        <v>772269574</v>
      </c>
    </row>
    <row r="10" spans="1:10" x14ac:dyDescent="0.2">
      <c r="A10" s="223" t="s">
        <v>41</v>
      </c>
      <c r="B10" s="224" t="s">
        <v>300</v>
      </c>
      <c r="C10" s="225">
        <v>2020</v>
      </c>
      <c r="D10" s="226">
        <v>650000000</v>
      </c>
      <c r="E10" s="294">
        <v>0</v>
      </c>
      <c r="F10" s="294">
        <v>0</v>
      </c>
      <c r="G10" s="294">
        <v>48750300</v>
      </c>
      <c r="H10" s="294">
        <v>65000400</v>
      </c>
      <c r="I10" s="295">
        <v>536249300</v>
      </c>
      <c r="J10" s="233">
        <f t="shared" ref="J10:J11" si="3">SUM(F10:I10)</f>
        <v>650000000</v>
      </c>
    </row>
    <row r="11" spans="1:10" x14ac:dyDescent="0.2">
      <c r="A11" s="223" t="s">
        <v>46</v>
      </c>
      <c r="B11" s="224" t="s">
        <v>301</v>
      </c>
      <c r="C11" s="225">
        <v>2020</v>
      </c>
      <c r="D11" s="226">
        <v>136665991</v>
      </c>
      <c r="E11" s="226">
        <v>14396417</v>
      </c>
      <c r="F11" s="226">
        <v>19177708</v>
      </c>
      <c r="G11" s="226">
        <v>18802471</v>
      </c>
      <c r="H11" s="226">
        <v>17016043</v>
      </c>
      <c r="I11" s="227">
        <v>67273352</v>
      </c>
      <c r="J11" s="233">
        <f t="shared" si="3"/>
        <v>122269574</v>
      </c>
    </row>
    <row r="12" spans="1:10" x14ac:dyDescent="0.2">
      <c r="A12" s="223" t="s">
        <v>48</v>
      </c>
      <c r="B12" s="234" t="s">
        <v>302</v>
      </c>
      <c r="C12" s="230"/>
      <c r="D12" s="231">
        <f t="shared" ref="D12:I12" si="4">SUM(D13:D13)</f>
        <v>0</v>
      </c>
      <c r="E12" s="231">
        <f t="shared" si="4"/>
        <v>0</v>
      </c>
      <c r="F12" s="231">
        <f t="shared" si="4"/>
        <v>0</v>
      </c>
      <c r="G12" s="231">
        <f t="shared" si="4"/>
        <v>0</v>
      </c>
      <c r="H12" s="231">
        <f t="shared" si="4"/>
        <v>0</v>
      </c>
      <c r="I12" s="232">
        <f t="shared" si="4"/>
        <v>0</v>
      </c>
      <c r="J12" s="233">
        <f t="shared" si="1"/>
        <v>0</v>
      </c>
    </row>
    <row r="13" spans="1:10" ht="21" customHeight="1" x14ac:dyDescent="0.2">
      <c r="A13" s="223" t="s">
        <v>49</v>
      </c>
      <c r="B13" s="224"/>
      <c r="C13" s="225"/>
      <c r="D13" s="226"/>
      <c r="E13" s="226"/>
      <c r="F13" s="226"/>
      <c r="G13" s="226"/>
      <c r="H13" s="226"/>
      <c r="I13" s="227"/>
      <c r="J13" s="228">
        <f t="shared" si="1"/>
        <v>0</v>
      </c>
    </row>
    <row r="14" spans="1:10" ht="21" customHeight="1" x14ac:dyDescent="0.2">
      <c r="A14" s="223"/>
      <c r="B14" s="224"/>
      <c r="C14" s="225"/>
      <c r="D14" s="226"/>
      <c r="E14" s="226">
        <v>0</v>
      </c>
      <c r="F14" s="226"/>
      <c r="G14" s="226"/>
      <c r="H14" s="226"/>
      <c r="I14" s="227"/>
      <c r="J14" s="228">
        <f t="shared" si="1"/>
        <v>0</v>
      </c>
    </row>
    <row r="15" spans="1:10" x14ac:dyDescent="0.2">
      <c r="A15" s="223" t="s">
        <v>50</v>
      </c>
      <c r="B15" s="234" t="s">
        <v>306</v>
      </c>
      <c r="C15" s="230"/>
      <c r="D15" s="231">
        <f t="shared" ref="D15:I15" si="5">SUM(D16:D16)</f>
        <v>786665991</v>
      </c>
      <c r="E15" s="231">
        <f t="shared" si="5"/>
        <v>14396417</v>
      </c>
      <c r="F15" s="231">
        <f>SUM(F16:F16)</f>
        <v>19177708</v>
      </c>
      <c r="G15" s="231">
        <f t="shared" si="5"/>
        <v>67552771</v>
      </c>
      <c r="H15" s="231">
        <f t="shared" si="5"/>
        <v>82016443</v>
      </c>
      <c r="I15" s="232">
        <f t="shared" si="5"/>
        <v>603522652</v>
      </c>
      <c r="J15" s="233">
        <f t="shared" si="1"/>
        <v>772269574</v>
      </c>
    </row>
    <row r="16" spans="1:10" x14ac:dyDescent="0.2">
      <c r="A16" s="223" t="s">
        <v>51</v>
      </c>
      <c r="B16" s="224" t="s">
        <v>305</v>
      </c>
      <c r="C16" s="225">
        <v>2020</v>
      </c>
      <c r="D16" s="226">
        <v>786665991</v>
      </c>
      <c r="E16" s="226">
        <f>E9</f>
        <v>14396417</v>
      </c>
      <c r="F16" s="226">
        <f t="shared" ref="F16:I16" si="6">F9</f>
        <v>19177708</v>
      </c>
      <c r="G16" s="226">
        <f t="shared" si="6"/>
        <v>67552771</v>
      </c>
      <c r="H16" s="226">
        <f t="shared" si="6"/>
        <v>82016443</v>
      </c>
      <c r="I16" s="226">
        <f t="shared" si="6"/>
        <v>603522652</v>
      </c>
      <c r="J16" s="228">
        <f t="shared" si="1"/>
        <v>772269574</v>
      </c>
    </row>
    <row r="17" spans="1:10" ht="21" customHeight="1" x14ac:dyDescent="0.2">
      <c r="A17" s="235" t="s">
        <v>23</v>
      </c>
      <c r="B17" s="236" t="s">
        <v>303</v>
      </c>
      <c r="C17" s="237"/>
      <c r="D17" s="238">
        <f t="shared" ref="D17:I17" si="7">SUM(D18:D19)</f>
        <v>0</v>
      </c>
      <c r="E17" s="238">
        <f t="shared" si="7"/>
        <v>0</v>
      </c>
      <c r="F17" s="238">
        <f t="shared" si="7"/>
        <v>0</v>
      </c>
      <c r="G17" s="238">
        <f t="shared" si="7"/>
        <v>0</v>
      </c>
      <c r="H17" s="238">
        <f t="shared" si="7"/>
        <v>0</v>
      </c>
      <c r="I17" s="239">
        <f t="shared" si="7"/>
        <v>0</v>
      </c>
      <c r="J17" s="233">
        <f t="shared" si="1"/>
        <v>0</v>
      </c>
    </row>
    <row r="18" spans="1:10" x14ac:dyDescent="0.2">
      <c r="A18" s="235" t="s">
        <v>24</v>
      </c>
      <c r="B18" s="224" t="s">
        <v>298</v>
      </c>
      <c r="C18" s="225"/>
      <c r="D18" s="226"/>
      <c r="E18" s="226"/>
      <c r="F18" s="226"/>
      <c r="G18" s="226"/>
      <c r="H18" s="226"/>
      <c r="I18" s="227"/>
      <c r="J18" s="228">
        <f t="shared" si="1"/>
        <v>0</v>
      </c>
    </row>
    <row r="19" spans="1:10" ht="13.5" thickBot="1" x14ac:dyDescent="0.25">
      <c r="A19" s="235" t="s">
        <v>28</v>
      </c>
      <c r="B19" s="224" t="s">
        <v>298</v>
      </c>
      <c r="C19" s="240"/>
      <c r="D19" s="241"/>
      <c r="E19" s="241"/>
      <c r="F19" s="241"/>
      <c r="G19" s="241"/>
      <c r="H19" s="241"/>
      <c r="I19" s="242"/>
      <c r="J19" s="228">
        <f t="shared" si="1"/>
        <v>0</v>
      </c>
    </row>
    <row r="20" spans="1:10" ht="13.5" thickBot="1" x14ac:dyDescent="0.25">
      <c r="A20" s="243" t="s">
        <v>25</v>
      </c>
      <c r="B20" s="244" t="s">
        <v>304</v>
      </c>
      <c r="C20" s="245"/>
      <c r="D20" s="246">
        <f>D6+D9+D12</f>
        <v>786665991</v>
      </c>
      <c r="E20" s="246">
        <f t="shared" ref="E20:I20" si="8">E6+E9+E12</f>
        <v>14396417</v>
      </c>
      <c r="F20" s="246">
        <f t="shared" si="8"/>
        <v>19177708</v>
      </c>
      <c r="G20" s="246">
        <f t="shared" si="8"/>
        <v>67552771</v>
      </c>
      <c r="H20" s="246">
        <f t="shared" si="8"/>
        <v>82016443</v>
      </c>
      <c r="I20" s="246">
        <f t="shared" si="8"/>
        <v>603522652</v>
      </c>
      <c r="J20" s="247">
        <f>J6+J9+J12</f>
        <v>772269574</v>
      </c>
    </row>
  </sheetData>
  <mergeCells count="7">
    <mergeCell ref="A1:J1"/>
    <mergeCell ref="J3:J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Burnoczki.Renata</cp:lastModifiedBy>
  <cp:lastPrinted>2020-03-13T14:06:56Z</cp:lastPrinted>
  <dcterms:created xsi:type="dcterms:W3CDTF">2005-12-27T13:42:28Z</dcterms:created>
  <dcterms:modified xsi:type="dcterms:W3CDTF">2020-08-13T15:17:02Z</dcterms:modified>
</cp:coreProperties>
</file>