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5955" tabRatio="816" firstSheet="25" activeTab="31"/>
  </bookViews>
  <sheets>
    <sheet name="1.1.sz.mell. " sheetId="1357" r:id="rId1"/>
    <sheet name="1.2.sz.mell. " sheetId="1358" r:id="rId2"/>
    <sheet name="1.3.sz.mell." sheetId="1359" r:id="rId3"/>
    <sheet name="2.1.sz.mell " sheetId="1361" r:id="rId4"/>
    <sheet name="2.2.sz.mell ." sheetId="1362" r:id="rId5"/>
    <sheet name="6.sz.mell." sheetId="1505" r:id="rId6"/>
    <sheet name="7.sz.mell." sheetId="1506" r:id="rId7"/>
    <sheet name="8.3. sz. mell." sheetId="1406" r:id="rId8"/>
    <sheet name="8.4. sz. mell." sheetId="1407" r:id="rId9"/>
    <sheet name="9.1. sz. mell." sheetId="1366" r:id="rId10"/>
    <sheet name="9.1.1. sz. mell. " sheetId="1367" r:id="rId11"/>
    <sheet name="9.1.2. sz. mell." sheetId="1368" r:id="rId12"/>
    <sheet name="9.2. sz. mell. " sheetId="1369" r:id="rId13"/>
    <sheet name="9.2.3. sz. mell." sheetId="1372" r:id="rId14"/>
    <sheet name="9.3. sz. mell" sheetId="1507" r:id="rId15"/>
    <sheet name="9.3.1. sz. mell EOI" sheetId="1508" r:id="rId16"/>
    <sheet name="9.4. sz. mell EKIK" sheetId="1510" r:id="rId17"/>
    <sheet name="9.4.1. sz. mell EKIK" sheetId="1511" r:id="rId18"/>
    <sheet name="9.5. sz. mell VK" sheetId="1513" r:id="rId19"/>
    <sheet name="9.5.1. sz. mell VK " sheetId="1514" r:id="rId20"/>
    <sheet name="9.6. sz. mell Kornisné Kp." sheetId="1516" r:id="rId21"/>
    <sheet name="9.6.2. sz. mell Kornisné Kp." sheetId="1518" r:id="rId22"/>
    <sheet name="9.7. sz. mell TIB  " sheetId="1520" r:id="rId23"/>
    <sheet name="9.7.1. sz. mell TIB  " sheetId="1521" r:id="rId24"/>
    <sheet name="9.7.2. sz. mell TIB" sheetId="1522" r:id="rId25"/>
    <sheet name="10.sz.mell int.összesítő" sheetId="1523" r:id="rId26"/>
    <sheet name="11.sz.mell tartalék" sheetId="1377" r:id="rId27"/>
    <sheet name="1.sz tájékoztató t " sheetId="1378" r:id="rId28"/>
    <sheet name="4.sz tájékoztató t " sheetId="1379" r:id="rId29"/>
    <sheet name="5.sz. tájékoztató" sheetId="1402" r:id="rId30"/>
    <sheet name="6.sz tájékoztató t " sheetId="1321" r:id="rId31"/>
    <sheet name="7.sz. táj. feladatos Önk. " sheetId="1381" r:id="rId32"/>
  </sheets>
  <definedNames>
    <definedName name="_xlnm.Print_Titles" localSheetId="9">'9.1. sz. mell.'!$1:$6</definedName>
    <definedName name="_xlnm.Print_Titles" localSheetId="10">'9.1.1. sz. mell. '!$1:$6</definedName>
    <definedName name="_xlnm.Print_Titles" localSheetId="11">'9.1.2. sz. mell.'!$1:$6</definedName>
    <definedName name="_xlnm.Print_Titles" localSheetId="12">'9.2. sz. mell. '!$1:$6</definedName>
    <definedName name="_xlnm.Print_Titles" localSheetId="13">'9.2.3. sz. mell.'!$1:$6</definedName>
    <definedName name="_xlnm.Print_Titles" localSheetId="14">'9.3. sz. mell'!$1:$6</definedName>
    <definedName name="_xlnm.Print_Titles" localSheetId="15">'9.3.1. sz. mell EOI'!$1:$6</definedName>
    <definedName name="_xlnm.Print_Titles" localSheetId="16">'9.4. sz. mell EKIK'!$1:$6</definedName>
    <definedName name="_xlnm.Print_Titles" localSheetId="17">'9.4.1. sz. mell EKIK'!$1:$6</definedName>
    <definedName name="_xlnm.Print_Titles" localSheetId="18">'9.5. sz. mell VK'!$1:$6</definedName>
    <definedName name="_xlnm.Print_Titles" localSheetId="19">'9.5.1. sz. mell VK '!$1:$6</definedName>
    <definedName name="_xlnm.Print_Titles" localSheetId="20">'9.6. sz. mell Kornisné Kp.'!$1:$6</definedName>
    <definedName name="_xlnm.Print_Titles" localSheetId="21">'9.6.2. sz. mell Kornisné Kp.'!$1:$6</definedName>
    <definedName name="_xlnm.Print_Titles" localSheetId="22">'9.7. sz. mell TIB  '!$1:$6</definedName>
    <definedName name="_xlnm.Print_Titles" localSheetId="23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'2.1.sz.mell '!$A$1:$E$31</definedName>
    <definedName name="_xlnm.Print_Area" localSheetId="31">'7.sz. táj. feladatos Önk. '!$A$3:$O$59</definedName>
    <definedName name="_xlnm.Print_Area" localSheetId="9">'9.1. sz. mell.'!$A$1:$C$156</definedName>
    <definedName name="_xlnm.Print_Area" localSheetId="12">'9.2. sz. mell. '!$A$1:$E$61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381" l="1"/>
  <c r="J34" i="1381"/>
  <c r="N56" i="1381"/>
  <c r="N24" i="1379"/>
  <c r="H24" i="1379"/>
  <c r="N18" i="1379"/>
  <c r="H18" i="1379"/>
  <c r="D15" i="1377"/>
  <c r="C41" i="1369"/>
  <c r="C49" i="1369"/>
  <c r="C96" i="1367"/>
  <c r="C112" i="1367"/>
  <c r="C112" i="1366"/>
  <c r="C96" i="1366"/>
  <c r="D112" i="1358"/>
  <c r="D96" i="1358"/>
  <c r="D96" i="1357"/>
  <c r="D112" i="1357"/>
  <c r="C61" i="1381" l="1"/>
  <c r="C14" i="1381"/>
  <c r="J43" i="1381"/>
  <c r="J14" i="1381"/>
  <c r="K48" i="1381"/>
  <c r="J48" i="1381"/>
  <c r="J44" i="1381"/>
  <c r="K44" i="1381"/>
  <c r="J22" i="1381"/>
  <c r="K22" i="1381"/>
  <c r="J12" i="1381"/>
  <c r="K12" i="1381"/>
  <c r="J47" i="1381"/>
  <c r="J32" i="1381"/>
  <c r="J27" i="1381"/>
  <c r="J13" i="1381"/>
  <c r="J10" i="1381"/>
  <c r="D14" i="1381"/>
  <c r="D8" i="1321" l="1"/>
  <c r="B53" i="1402"/>
  <c r="B46" i="1402"/>
  <c r="B40" i="1402"/>
  <c r="B39" i="1402"/>
  <c r="B20" i="1402"/>
  <c r="B30" i="1402"/>
  <c r="B32" i="1402"/>
  <c r="B34" i="1402"/>
  <c r="B36" i="1402"/>
  <c r="B37" i="1402"/>
  <c r="B31" i="1402"/>
  <c r="B33" i="1402"/>
  <c r="B26" i="1402"/>
  <c r="B23" i="1402"/>
  <c r="G24" i="1379"/>
  <c r="M24" i="1379"/>
  <c r="L24" i="1379"/>
  <c r="K24" i="1379"/>
  <c r="J24" i="1379"/>
  <c r="I24" i="1379"/>
  <c r="F24" i="1379"/>
  <c r="E24" i="1379"/>
  <c r="N22" i="1379"/>
  <c r="N21" i="1379"/>
  <c r="N20" i="1379"/>
  <c r="M18" i="1379"/>
  <c r="L18" i="1379"/>
  <c r="K18" i="1379"/>
  <c r="J18" i="1379"/>
  <c r="I18" i="1379"/>
  <c r="G18" i="1379"/>
  <c r="F18" i="1379"/>
  <c r="E18" i="1379"/>
  <c r="D18" i="1379"/>
  <c r="N17" i="1379"/>
  <c r="M17" i="1379"/>
  <c r="L17" i="1379"/>
  <c r="K17" i="1379"/>
  <c r="J17" i="1379"/>
  <c r="N16" i="1379" l="1"/>
  <c r="M16" i="1379"/>
  <c r="L16" i="1379"/>
  <c r="K16" i="1379"/>
  <c r="J16" i="1379"/>
  <c r="N13" i="1379"/>
  <c r="C13" i="1379"/>
  <c r="N9" i="1379"/>
  <c r="M9" i="1379"/>
  <c r="L9" i="1379"/>
  <c r="K9" i="1379"/>
  <c r="J9" i="1379"/>
  <c r="I9" i="1379"/>
  <c r="H9" i="1379"/>
  <c r="G9" i="1379"/>
  <c r="F9" i="1379"/>
  <c r="E9" i="1379"/>
  <c r="D9" i="1379"/>
  <c r="M7" i="1379"/>
  <c r="N5" i="1379"/>
  <c r="F5" i="1379"/>
  <c r="M5" i="1379"/>
  <c r="L5" i="1379"/>
  <c r="K5" i="1379"/>
  <c r="J5" i="1379"/>
  <c r="I5" i="1379"/>
  <c r="H5" i="1379"/>
  <c r="G5" i="1379"/>
  <c r="E5" i="1379"/>
  <c r="D5" i="1379"/>
  <c r="M6" i="1379"/>
  <c r="D20" i="1377"/>
  <c r="D17" i="1377"/>
  <c r="D26" i="1377"/>
  <c r="E15" i="1523"/>
  <c r="C41" i="1372"/>
  <c r="C53" i="1372"/>
  <c r="C49" i="1372"/>
  <c r="C48" i="1372"/>
  <c r="C47" i="1372"/>
  <c r="C53" i="1369"/>
  <c r="C48" i="1369"/>
  <c r="C47" i="1369"/>
  <c r="C20" i="1366"/>
  <c r="C20" i="1368"/>
  <c r="C11" i="1368"/>
  <c r="C96" i="1368"/>
  <c r="C95" i="1368"/>
  <c r="C94" i="1368"/>
  <c r="C113" i="1367"/>
  <c r="C118" i="1367"/>
  <c r="C117" i="1367"/>
  <c r="C116" i="1367"/>
  <c r="C115" i="1367"/>
  <c r="C110" i="1367"/>
  <c r="C94" i="1367"/>
  <c r="C23" i="1367"/>
  <c r="C13" i="1367"/>
  <c r="C12" i="1367"/>
  <c r="C11" i="1367"/>
  <c r="C10" i="1367"/>
  <c r="C9" i="1367"/>
  <c r="C116" i="1366"/>
  <c r="D116" i="1358"/>
  <c r="D116" i="1357"/>
  <c r="C118" i="1366"/>
  <c r="C117" i="1366"/>
  <c r="C115" i="1366"/>
  <c r="C113" i="1366"/>
  <c r="C110" i="1366"/>
  <c r="C95" i="1366"/>
  <c r="C94" i="1366"/>
  <c r="C23" i="1366"/>
  <c r="C13" i="1366"/>
  <c r="C12" i="1366"/>
  <c r="C11" i="1366"/>
  <c r="C10" i="1366"/>
  <c r="C9" i="1366"/>
  <c r="C16" i="1407"/>
  <c r="C39" i="1406"/>
  <c r="C38" i="1406"/>
  <c r="E17" i="1506"/>
  <c r="B17" i="1506"/>
  <c r="E19" i="1506"/>
  <c r="B19" i="1506"/>
  <c r="E22" i="1505"/>
  <c r="B22" i="1505"/>
  <c r="E34" i="1505"/>
  <c r="B34" i="1505"/>
  <c r="C23" i="1361"/>
  <c r="D10" i="1358"/>
  <c r="D96" i="1359"/>
  <c r="D95" i="1359"/>
  <c r="D94" i="1359"/>
  <c r="D40" i="1359"/>
  <c r="D18" i="1359"/>
  <c r="D17" i="1359"/>
  <c r="D8" i="1359"/>
  <c r="D113" i="1358"/>
  <c r="D118" i="1358"/>
  <c r="D117" i="1358"/>
  <c r="D115" i="1358"/>
  <c r="C110" i="1358"/>
  <c r="D110" i="1358"/>
  <c r="D95" i="1358"/>
  <c r="D94" i="1358"/>
  <c r="D45" i="1358"/>
  <c r="D40" i="1358"/>
  <c r="D20" i="1358"/>
  <c r="D18" i="1358"/>
  <c r="D17" i="1358"/>
  <c r="D9" i="1358"/>
  <c r="D8" i="1358"/>
  <c r="D7" i="1358"/>
  <c r="D6" i="1358"/>
  <c r="D118" i="1357"/>
  <c r="D117" i="1357"/>
  <c r="D115" i="1357"/>
  <c r="D113" i="1357"/>
  <c r="D110" i="1357"/>
  <c r="D95" i="1357"/>
  <c r="D94" i="1357"/>
  <c r="C114" i="1366" l="1"/>
  <c r="D45" i="1357" l="1"/>
  <c r="D40" i="1357"/>
  <c r="C39" i="1357"/>
  <c r="D39" i="1357"/>
  <c r="D37" i="1357"/>
  <c r="D20" i="1357"/>
  <c r="D18" i="1357"/>
  <c r="D17" i="1357"/>
  <c r="D10" i="1357"/>
  <c r="D9" i="1357" l="1"/>
  <c r="D8" i="1357"/>
  <c r="D7" i="1357"/>
  <c r="D6" i="1357"/>
  <c r="C53" i="1521" l="1"/>
  <c r="C52" i="1521" s="1"/>
  <c r="C49" i="1521"/>
  <c r="C48" i="1521"/>
  <c r="C47" i="1521"/>
  <c r="C46" i="1521" s="1"/>
  <c r="C58" i="1521" s="1"/>
  <c r="C41" i="1521"/>
  <c r="C38" i="1521"/>
  <c r="C31" i="1521"/>
  <c r="C26" i="1521"/>
  <c r="C20" i="1521"/>
  <c r="C19" i="1521"/>
  <c r="C14" i="1521"/>
  <c r="C13" i="1521"/>
  <c r="C8" i="1521"/>
  <c r="C37" i="1521" s="1"/>
  <c r="C42" i="1521" s="1"/>
  <c r="C19" i="1520"/>
  <c r="C41" i="1520"/>
  <c r="C13" i="1520"/>
  <c r="C49" i="1520"/>
  <c r="C24" i="1518"/>
  <c r="C23" i="1518"/>
  <c r="C48" i="1518"/>
  <c r="C47" i="1518"/>
  <c r="C41" i="1518"/>
  <c r="C14" i="1518"/>
  <c r="C13" i="1518"/>
  <c r="C11" i="1518"/>
  <c r="C24" i="1516"/>
  <c r="C23" i="1516"/>
  <c r="C48" i="1516"/>
  <c r="C47" i="1516"/>
  <c r="C41" i="1516"/>
  <c r="C14" i="1516"/>
  <c r="C13" i="1516"/>
  <c r="C11" i="1516"/>
  <c r="C61" i="1514"/>
  <c r="C53" i="1514"/>
  <c r="C52" i="1514" s="1"/>
  <c r="C49" i="1514"/>
  <c r="C48" i="1514"/>
  <c r="C47" i="1514"/>
  <c r="C46" i="1514" s="1"/>
  <c r="C41" i="1514"/>
  <c r="C38" i="1514"/>
  <c r="C31" i="1514"/>
  <c r="C26" i="1514"/>
  <c r="C24" i="1514"/>
  <c r="C23" i="1514"/>
  <c r="C20" i="1514"/>
  <c r="C19" i="1514"/>
  <c r="C14" i="1514"/>
  <c r="C13" i="1514"/>
  <c r="C10" i="1514"/>
  <c r="C8" i="1514" s="1"/>
  <c r="C37" i="1514" s="1"/>
  <c r="C42" i="1514" s="1"/>
  <c r="C41" i="1513"/>
  <c r="C49" i="1513"/>
  <c r="C14" i="1513"/>
  <c r="C13" i="1513"/>
  <c r="C41" i="1511"/>
  <c r="C49" i="1511"/>
  <c r="C47" i="1511"/>
  <c r="C41" i="1510"/>
  <c r="C49" i="1510"/>
  <c r="C47" i="1510"/>
  <c r="C49" i="1508"/>
  <c r="C41" i="1508"/>
  <c r="C19" i="1508"/>
  <c r="C19" i="1507"/>
  <c r="C48" i="1508"/>
  <c r="C47" i="1508"/>
  <c r="C41" i="1507"/>
  <c r="C49" i="1507"/>
  <c r="C48" i="1507"/>
  <c r="C47" i="1507"/>
  <c r="G12" i="1523"/>
  <c r="E12" i="1523"/>
  <c r="B12" i="1523"/>
  <c r="B14" i="1523"/>
  <c r="G14" i="1523"/>
  <c r="B13" i="1523"/>
  <c r="F13" i="1523"/>
  <c r="E13" i="1523"/>
  <c r="B10" i="1523"/>
  <c r="G10" i="1523"/>
  <c r="B11" i="1523"/>
  <c r="G11" i="1523"/>
  <c r="F11" i="1523"/>
  <c r="E11" i="1523"/>
  <c r="C58" i="1514" l="1"/>
  <c r="J38" i="1381" l="1"/>
  <c r="J39" i="1381" l="1"/>
  <c r="K39" i="1381"/>
  <c r="J33" i="1381"/>
  <c r="M21" i="1379"/>
  <c r="G15" i="1523"/>
  <c r="F15" i="1523"/>
  <c r="C14" i="1369"/>
  <c r="C11" i="1369"/>
  <c r="C23" i="1369"/>
  <c r="C95" i="1367"/>
  <c r="E20" i="1505"/>
  <c r="B20" i="1505"/>
  <c r="E27" i="1505"/>
  <c r="B27" i="1505"/>
  <c r="E10" i="1505"/>
  <c r="B10" i="1505"/>
  <c r="D115" i="1359"/>
  <c r="D37" i="1358"/>
  <c r="E87" i="1505" l="1"/>
  <c r="B87" i="1505"/>
  <c r="E86" i="1505"/>
  <c r="B86" i="1505"/>
  <c r="C53" i="1518"/>
  <c r="C49" i="1518"/>
  <c r="C49" i="1516"/>
  <c r="C53" i="1516"/>
  <c r="G13" i="1523"/>
  <c r="J13" i="1523"/>
  <c r="D23" i="1321" l="1"/>
  <c r="M20" i="1379"/>
  <c r="H48" i="1381"/>
  <c r="J19" i="1381"/>
  <c r="J49" i="1381"/>
  <c r="J11" i="1381"/>
  <c r="C107" i="1366"/>
  <c r="D107" i="1357"/>
  <c r="O48" i="1381" l="1"/>
  <c r="D27" i="1321"/>
  <c r="M19" i="1379"/>
  <c r="H19" i="1379"/>
  <c r="I19" i="1379"/>
  <c r="K19" i="1379"/>
  <c r="J19" i="1379"/>
  <c r="N19" i="1379"/>
  <c r="G19" i="1379"/>
  <c r="M11" i="1379"/>
  <c r="F6" i="1379"/>
  <c r="K6" i="1379"/>
  <c r="D21" i="1377"/>
  <c r="D22" i="1377"/>
  <c r="C97" i="1367"/>
  <c r="C20" i="1367"/>
  <c r="C97" i="1366"/>
  <c r="E35" i="1505"/>
  <c r="B35" i="1505"/>
  <c r="D35" i="1359"/>
  <c r="D97" i="1358"/>
  <c r="D55" i="1358"/>
  <c r="D97" i="1357" l="1"/>
  <c r="D55" i="1357"/>
  <c r="D35" i="1357"/>
  <c r="F89" i="1505" l="1"/>
  <c r="F90" i="1505"/>
  <c r="F102" i="1505" l="1"/>
  <c r="F101" i="1505"/>
  <c r="F100" i="1505"/>
  <c r="E58" i="1505"/>
  <c r="B58" i="1505"/>
  <c r="F57" i="1505"/>
  <c r="C53" i="1520"/>
  <c r="C48" i="1520"/>
  <c r="C47" i="1520"/>
  <c r="C53" i="1511"/>
  <c r="C53" i="1510"/>
  <c r="C48" i="1511"/>
  <c r="C24" i="1511"/>
  <c r="C23" i="1511"/>
  <c r="C24" i="1510"/>
  <c r="C23" i="1510"/>
  <c r="C48" i="1510"/>
  <c r="J12" i="1523"/>
  <c r="J14" i="1523"/>
  <c r="F14" i="1523"/>
  <c r="E14" i="1523"/>
  <c r="F12" i="1523"/>
  <c r="J31" i="1381" l="1"/>
  <c r="K31" i="1381"/>
  <c r="J23" i="1381"/>
  <c r="K23" i="1381"/>
  <c r="C34" i="1381"/>
  <c r="M22" i="1379"/>
  <c r="L20" i="1379"/>
  <c r="L6" i="1379"/>
  <c r="H16" i="1523"/>
  <c r="I13" i="1523"/>
  <c r="I16" i="1523" s="1"/>
  <c r="K12" i="1523"/>
  <c r="C12" i="1523" s="1"/>
  <c r="J11" i="1523"/>
  <c r="J10" i="1523"/>
  <c r="F10" i="1523"/>
  <c r="E10" i="1523"/>
  <c r="C51" i="1522"/>
  <c r="C45" i="1522"/>
  <c r="C37" i="1522"/>
  <c r="C30" i="1522"/>
  <c r="E30" i="1520" s="1"/>
  <c r="F30" i="1520" s="1"/>
  <c r="C26" i="1522"/>
  <c r="C20" i="1522"/>
  <c r="C8" i="1522"/>
  <c r="E58" i="1520"/>
  <c r="E38" i="1520"/>
  <c r="E60" i="1520"/>
  <c r="F60" i="1520" s="1"/>
  <c r="E59" i="1520"/>
  <c r="F59" i="1520" s="1"/>
  <c r="E56" i="1520"/>
  <c r="F56" i="1520" s="1"/>
  <c r="E55" i="1520"/>
  <c r="F55" i="1520" s="1"/>
  <c r="E54" i="1520"/>
  <c r="F54" i="1520" s="1"/>
  <c r="E53" i="1520"/>
  <c r="F53" i="1520"/>
  <c r="E52" i="1520"/>
  <c r="C52" i="1520"/>
  <c r="F52" i="1520" s="1"/>
  <c r="E51" i="1520"/>
  <c r="F51" i="1520" s="1"/>
  <c r="E50" i="1520"/>
  <c r="F50" i="1520" s="1"/>
  <c r="E49" i="1520"/>
  <c r="F49" i="1520"/>
  <c r="E48" i="1520"/>
  <c r="F48" i="1520"/>
  <c r="E47" i="1520"/>
  <c r="F47" i="1520"/>
  <c r="E46" i="1520"/>
  <c r="C46" i="1520"/>
  <c r="C58" i="1520" s="1"/>
  <c r="E45" i="1520"/>
  <c r="F45" i="1520" s="1"/>
  <c r="E44" i="1520"/>
  <c r="F44" i="1520" s="1"/>
  <c r="E43" i="1520"/>
  <c r="F43" i="1520" s="1"/>
  <c r="C38" i="1520"/>
  <c r="F38" i="1520" s="1"/>
  <c r="E40" i="1520"/>
  <c r="F40" i="1520" s="1"/>
  <c r="E39" i="1520"/>
  <c r="F39" i="1520" s="1"/>
  <c r="E35" i="1520"/>
  <c r="F35" i="1520" s="1"/>
  <c r="E34" i="1520"/>
  <c r="F34" i="1520" s="1"/>
  <c r="E33" i="1520"/>
  <c r="F33" i="1520" s="1"/>
  <c r="E32" i="1520"/>
  <c r="F32" i="1520" s="1"/>
  <c r="E31" i="1520"/>
  <c r="C31" i="1520"/>
  <c r="E29" i="1520"/>
  <c r="F29" i="1520" s="1"/>
  <c r="E28" i="1520"/>
  <c r="F28" i="1520" s="1"/>
  <c r="E27" i="1520"/>
  <c r="F27" i="1520" s="1"/>
  <c r="E26" i="1520"/>
  <c r="C26" i="1520"/>
  <c r="E25" i="1520"/>
  <c r="F25" i="1520" s="1"/>
  <c r="E24" i="1520"/>
  <c r="F24" i="1520" s="1"/>
  <c r="E23" i="1520"/>
  <c r="F23" i="1520" s="1"/>
  <c r="E22" i="1520"/>
  <c r="F22" i="1520" s="1"/>
  <c r="E21" i="1520"/>
  <c r="F21" i="1520" s="1"/>
  <c r="E20" i="1520"/>
  <c r="C20" i="1520"/>
  <c r="E19" i="1520"/>
  <c r="E18" i="1520"/>
  <c r="F18" i="1520" s="1"/>
  <c r="E17" i="1520"/>
  <c r="F17" i="1520" s="1"/>
  <c r="E16" i="1520"/>
  <c r="F16" i="1520" s="1"/>
  <c r="E15" i="1520"/>
  <c r="F15" i="1520" s="1"/>
  <c r="E14" i="1520"/>
  <c r="C14" i="1520"/>
  <c r="E13" i="1520"/>
  <c r="E12" i="1520"/>
  <c r="F12" i="1520" s="1"/>
  <c r="E11" i="1520"/>
  <c r="F11" i="1520" s="1"/>
  <c r="E10" i="1520"/>
  <c r="F10" i="1520" s="1"/>
  <c r="E9" i="1520"/>
  <c r="F9" i="1520" s="1"/>
  <c r="E14" i="1516"/>
  <c r="C52" i="1518"/>
  <c r="C46" i="1518"/>
  <c r="C38" i="1518"/>
  <c r="C31" i="1518"/>
  <c r="C29" i="1518"/>
  <c r="C26" i="1518" s="1"/>
  <c r="E26" i="1516" s="1"/>
  <c r="C20" i="1518"/>
  <c r="E13" i="1516"/>
  <c r="C10" i="1518"/>
  <c r="C8" i="1518"/>
  <c r="E31" i="1516"/>
  <c r="E64" i="1516"/>
  <c r="F64" i="1516" s="1"/>
  <c r="E62" i="1516"/>
  <c r="F62" i="1516" s="1"/>
  <c r="E60" i="1516"/>
  <c r="F60" i="1516" s="1"/>
  <c r="E59" i="1516"/>
  <c r="F59" i="1516" s="1"/>
  <c r="E57" i="1516"/>
  <c r="F57" i="1516" s="1"/>
  <c r="E56" i="1516"/>
  <c r="F56" i="1516" s="1"/>
  <c r="E55" i="1516"/>
  <c r="F55" i="1516" s="1"/>
  <c r="E54" i="1516"/>
  <c r="F54" i="1516" s="1"/>
  <c r="E53" i="1516"/>
  <c r="C52" i="1516"/>
  <c r="E51" i="1516"/>
  <c r="F51" i="1516" s="1"/>
  <c r="E50" i="1516"/>
  <c r="F50" i="1516" s="1"/>
  <c r="E49" i="1516"/>
  <c r="E48" i="1516"/>
  <c r="E47" i="1516"/>
  <c r="E45" i="1516"/>
  <c r="F45" i="1516" s="1"/>
  <c r="E44" i="1516"/>
  <c r="F44" i="1516" s="1"/>
  <c r="E43" i="1516"/>
  <c r="F43" i="1516" s="1"/>
  <c r="E40" i="1516"/>
  <c r="F40" i="1516" s="1"/>
  <c r="E39" i="1516"/>
  <c r="F39" i="1516" s="1"/>
  <c r="E36" i="1516"/>
  <c r="F36" i="1516" s="1"/>
  <c r="E35" i="1516"/>
  <c r="F35" i="1516" s="1"/>
  <c r="E34" i="1516"/>
  <c r="F34" i="1516" s="1"/>
  <c r="E33" i="1516"/>
  <c r="F33" i="1516" s="1"/>
  <c r="E32" i="1516"/>
  <c r="F32" i="1516" s="1"/>
  <c r="C31" i="1516"/>
  <c r="E30" i="1516"/>
  <c r="F30" i="1516" s="1"/>
  <c r="C29" i="1516"/>
  <c r="C26" i="1516" s="1"/>
  <c r="E28" i="1516"/>
  <c r="F28" i="1516" s="1"/>
  <c r="E27" i="1516"/>
  <c r="F27" i="1516" s="1"/>
  <c r="E25" i="1516"/>
  <c r="F25" i="1516" s="1"/>
  <c r="E24" i="1516"/>
  <c r="E23" i="1516"/>
  <c r="E22" i="1516"/>
  <c r="F22" i="1516" s="1"/>
  <c r="E21" i="1516"/>
  <c r="F21" i="1516" s="1"/>
  <c r="C20" i="1516"/>
  <c r="C19" i="1516"/>
  <c r="E18" i="1516"/>
  <c r="F18" i="1516" s="1"/>
  <c r="E17" i="1516"/>
  <c r="F17" i="1516" s="1"/>
  <c r="E16" i="1516"/>
  <c r="F16" i="1516" s="1"/>
  <c r="E15" i="1516"/>
  <c r="F15" i="1516" s="1"/>
  <c r="E12" i="1516"/>
  <c r="F12" i="1516" s="1"/>
  <c r="E11" i="1516"/>
  <c r="F11" i="1516" s="1"/>
  <c r="E10" i="1516"/>
  <c r="C10" i="1516"/>
  <c r="E9" i="1516"/>
  <c r="F9" i="1516" s="1"/>
  <c r="E52" i="1513"/>
  <c r="E49" i="1513"/>
  <c r="E48" i="1513"/>
  <c r="E24" i="1513"/>
  <c r="E19" i="1513"/>
  <c r="C61" i="1513"/>
  <c r="E60" i="1513"/>
  <c r="F60" i="1513" s="1"/>
  <c r="E59" i="1513"/>
  <c r="F59" i="1513" s="1"/>
  <c r="E57" i="1513"/>
  <c r="F57" i="1513" s="1"/>
  <c r="E56" i="1513"/>
  <c r="F56" i="1513" s="1"/>
  <c r="E55" i="1513"/>
  <c r="F55" i="1513" s="1"/>
  <c r="E54" i="1513"/>
  <c r="F54" i="1513" s="1"/>
  <c r="C53" i="1513"/>
  <c r="C52" i="1513" s="1"/>
  <c r="E51" i="1513"/>
  <c r="F51" i="1513" s="1"/>
  <c r="E50" i="1513"/>
  <c r="F50" i="1513" s="1"/>
  <c r="C48" i="1513"/>
  <c r="C47" i="1513"/>
  <c r="E45" i="1513"/>
  <c r="F45" i="1513" s="1"/>
  <c r="E44" i="1513"/>
  <c r="F44" i="1513" s="1"/>
  <c r="E43" i="1513"/>
  <c r="F43" i="1513" s="1"/>
  <c r="E41" i="1513"/>
  <c r="C38" i="1513"/>
  <c r="E40" i="1513"/>
  <c r="F40" i="1513" s="1"/>
  <c r="E39" i="1513"/>
  <c r="F39" i="1513" s="1"/>
  <c r="E36" i="1513"/>
  <c r="F36" i="1513" s="1"/>
  <c r="E35" i="1513"/>
  <c r="F35" i="1513" s="1"/>
  <c r="E34" i="1513"/>
  <c r="F34" i="1513" s="1"/>
  <c r="E33" i="1513"/>
  <c r="F33" i="1513" s="1"/>
  <c r="E32" i="1513"/>
  <c r="F32" i="1513" s="1"/>
  <c r="C31" i="1513"/>
  <c r="E30" i="1513"/>
  <c r="F30" i="1513" s="1"/>
  <c r="E29" i="1513"/>
  <c r="F29" i="1513" s="1"/>
  <c r="E28" i="1513"/>
  <c r="F28" i="1513" s="1"/>
  <c r="E27" i="1513"/>
  <c r="F27" i="1513" s="1"/>
  <c r="C26" i="1513"/>
  <c r="E25" i="1513"/>
  <c r="F25" i="1513" s="1"/>
  <c r="C24" i="1513"/>
  <c r="E23" i="1513"/>
  <c r="C23" i="1513"/>
  <c r="E22" i="1513"/>
  <c r="F22" i="1513" s="1"/>
  <c r="E21" i="1513"/>
  <c r="F21" i="1513" s="1"/>
  <c r="C19" i="1513"/>
  <c r="E18" i="1513"/>
  <c r="F18" i="1513" s="1"/>
  <c r="E17" i="1513"/>
  <c r="F17" i="1513" s="1"/>
  <c r="E16" i="1513"/>
  <c r="F16" i="1513" s="1"/>
  <c r="E15" i="1513"/>
  <c r="F15" i="1513" s="1"/>
  <c r="E14" i="1513"/>
  <c r="F14" i="1513" s="1"/>
  <c r="E13" i="1513"/>
  <c r="F13" i="1513" s="1"/>
  <c r="E12" i="1513"/>
  <c r="F12" i="1513" s="1"/>
  <c r="E11" i="1513"/>
  <c r="F11" i="1513" s="1"/>
  <c r="C10" i="1513"/>
  <c r="E9" i="1513"/>
  <c r="F9" i="1513" s="1"/>
  <c r="C52" i="1511"/>
  <c r="C46" i="1511"/>
  <c r="C38" i="1511"/>
  <c r="C20" i="1511"/>
  <c r="C8" i="1511"/>
  <c r="C52" i="1510"/>
  <c r="C38" i="1510"/>
  <c r="C20" i="1510"/>
  <c r="C14" i="1510"/>
  <c r="C10" i="1510"/>
  <c r="E20" i="1507"/>
  <c r="C54" i="1508"/>
  <c r="C53" i="1508"/>
  <c r="C52" i="1508" s="1"/>
  <c r="E52" i="1507" s="1"/>
  <c r="E48" i="1507"/>
  <c r="C38" i="1508"/>
  <c r="C31" i="1508"/>
  <c r="C26" i="1508"/>
  <c r="C20" i="1508"/>
  <c r="E19" i="1507"/>
  <c r="C14" i="1508"/>
  <c r="E14" i="1507" s="1"/>
  <c r="C11" i="1508"/>
  <c r="E60" i="1507"/>
  <c r="F60" i="1507" s="1"/>
  <c r="E59" i="1507"/>
  <c r="F59" i="1507" s="1"/>
  <c r="E57" i="1507"/>
  <c r="F57" i="1507" s="1"/>
  <c r="E56" i="1507"/>
  <c r="F56" i="1507" s="1"/>
  <c r="E55" i="1507"/>
  <c r="F55" i="1507" s="1"/>
  <c r="E54" i="1507"/>
  <c r="C54" i="1507"/>
  <c r="C53" i="1507"/>
  <c r="E51" i="1507"/>
  <c r="F51" i="1507" s="1"/>
  <c r="E50" i="1507"/>
  <c r="F50" i="1507" s="1"/>
  <c r="E49" i="1507"/>
  <c r="E47" i="1507"/>
  <c r="E45" i="1507"/>
  <c r="F45" i="1507" s="1"/>
  <c r="E44" i="1507"/>
  <c r="F44" i="1507" s="1"/>
  <c r="E43" i="1507"/>
  <c r="F43" i="1507" s="1"/>
  <c r="C38" i="1507"/>
  <c r="E40" i="1507"/>
  <c r="F40" i="1507" s="1"/>
  <c r="E39" i="1507"/>
  <c r="F39" i="1507" s="1"/>
  <c r="E36" i="1507"/>
  <c r="F36" i="1507" s="1"/>
  <c r="E35" i="1507"/>
  <c r="F35" i="1507" s="1"/>
  <c r="E34" i="1507"/>
  <c r="F34" i="1507" s="1"/>
  <c r="E33" i="1507"/>
  <c r="F33" i="1507" s="1"/>
  <c r="E32" i="1507"/>
  <c r="F32" i="1507" s="1"/>
  <c r="E31" i="1507"/>
  <c r="C31" i="1507"/>
  <c r="E30" i="1507"/>
  <c r="F30" i="1507" s="1"/>
  <c r="E29" i="1507"/>
  <c r="F29" i="1507" s="1"/>
  <c r="E28" i="1507"/>
  <c r="F28" i="1507" s="1"/>
  <c r="E27" i="1507"/>
  <c r="F27" i="1507" s="1"/>
  <c r="E26" i="1507"/>
  <c r="C26" i="1507"/>
  <c r="E25" i="1507"/>
  <c r="F25" i="1507" s="1"/>
  <c r="E24" i="1507"/>
  <c r="F24" i="1507" s="1"/>
  <c r="E23" i="1507"/>
  <c r="F23" i="1507" s="1"/>
  <c r="E22" i="1507"/>
  <c r="F22" i="1507" s="1"/>
  <c r="E21" i="1507"/>
  <c r="F21" i="1507" s="1"/>
  <c r="C20" i="1507"/>
  <c r="E18" i="1507"/>
  <c r="F18" i="1507" s="1"/>
  <c r="E17" i="1507"/>
  <c r="F17" i="1507" s="1"/>
  <c r="E16" i="1507"/>
  <c r="F16" i="1507" s="1"/>
  <c r="E15" i="1507"/>
  <c r="F15" i="1507" s="1"/>
  <c r="C14" i="1507"/>
  <c r="E13" i="1507"/>
  <c r="F13" i="1507" s="1"/>
  <c r="E12" i="1507"/>
  <c r="F12" i="1507" s="1"/>
  <c r="C11" i="1507"/>
  <c r="C10" i="1507"/>
  <c r="E9" i="1507"/>
  <c r="F9" i="1507" s="1"/>
  <c r="C116" i="1368"/>
  <c r="C115" i="1368"/>
  <c r="C48" i="1367"/>
  <c r="C36" i="1522" l="1"/>
  <c r="E38" i="1513"/>
  <c r="F38" i="1513" s="1"/>
  <c r="E41" i="1516"/>
  <c r="F41" i="1516" s="1"/>
  <c r="E38" i="1507"/>
  <c r="F38" i="1507" s="1"/>
  <c r="E19" i="1516"/>
  <c r="F19" i="1516" s="1"/>
  <c r="G16" i="1523"/>
  <c r="F58" i="1520"/>
  <c r="C8" i="1508"/>
  <c r="C37" i="1508" s="1"/>
  <c r="F49" i="1513"/>
  <c r="F14" i="1507"/>
  <c r="C46" i="1507"/>
  <c r="C58" i="1507" s="1"/>
  <c r="F54" i="1507"/>
  <c r="C8" i="1510"/>
  <c r="C37" i="1510" s="1"/>
  <c r="C42" i="1510" s="1"/>
  <c r="C8" i="1513"/>
  <c r="C37" i="1513" s="1"/>
  <c r="C8" i="1516"/>
  <c r="E20" i="1513"/>
  <c r="E26" i="1513"/>
  <c r="F26" i="1513" s="1"/>
  <c r="C8" i="1520"/>
  <c r="C37" i="1520" s="1"/>
  <c r="E16" i="1523"/>
  <c r="F19" i="1507"/>
  <c r="F20" i="1507"/>
  <c r="F48" i="1513"/>
  <c r="E10" i="1507"/>
  <c r="F10" i="1507" s="1"/>
  <c r="E11" i="1507"/>
  <c r="F11" i="1507" s="1"/>
  <c r="F26" i="1507"/>
  <c r="F31" i="1507"/>
  <c r="E41" i="1507"/>
  <c r="F41" i="1507" s="1"/>
  <c r="E53" i="1507"/>
  <c r="F53" i="1507" s="1"/>
  <c r="F23" i="1513"/>
  <c r="F52" i="1513"/>
  <c r="E29" i="1516"/>
  <c r="F29" i="1516" s="1"/>
  <c r="E38" i="1516"/>
  <c r="C58" i="1518"/>
  <c r="F14" i="1520"/>
  <c r="F19" i="1520"/>
  <c r="F20" i="1520"/>
  <c r="F13" i="1516"/>
  <c r="F14" i="1516"/>
  <c r="F47" i="1516"/>
  <c r="F48" i="1516"/>
  <c r="F49" i="1516"/>
  <c r="E8" i="1516"/>
  <c r="C8" i="1507"/>
  <c r="C37" i="1507" s="1"/>
  <c r="C42" i="1507" s="1"/>
  <c r="F47" i="1507"/>
  <c r="F48" i="1507"/>
  <c r="F49" i="1507"/>
  <c r="C52" i="1507"/>
  <c r="F52" i="1507" s="1"/>
  <c r="C46" i="1508"/>
  <c r="E46" i="1507" s="1"/>
  <c r="C46" i="1510"/>
  <c r="C58" i="1510" s="1"/>
  <c r="F26" i="1516"/>
  <c r="F19" i="1513"/>
  <c r="C20" i="1513"/>
  <c r="F20" i="1513" s="1"/>
  <c r="F41" i="1513"/>
  <c r="C46" i="1513"/>
  <c r="C58" i="1513" s="1"/>
  <c r="E8" i="1513"/>
  <c r="E31" i="1513"/>
  <c r="F31" i="1513" s="1"/>
  <c r="F23" i="1516"/>
  <c r="F24" i="1516"/>
  <c r="C38" i="1516"/>
  <c r="C46" i="1516"/>
  <c r="C58" i="1516" s="1"/>
  <c r="E52" i="1516"/>
  <c r="E20" i="1516"/>
  <c r="F20" i="1516" s="1"/>
  <c r="F26" i="1520"/>
  <c r="F31" i="1520"/>
  <c r="C57" i="1522"/>
  <c r="E57" i="1520" s="1"/>
  <c r="F57" i="1520" s="1"/>
  <c r="F16" i="1523"/>
  <c r="K11" i="1523"/>
  <c r="C11" i="1523" s="1"/>
  <c r="D11" i="1523" s="1"/>
  <c r="D12" i="1523"/>
  <c r="K13" i="1523"/>
  <c r="C13" i="1523" s="1"/>
  <c r="D13" i="1523" s="1"/>
  <c r="K14" i="1523"/>
  <c r="C14" i="1523" s="1"/>
  <c r="E37" i="1507"/>
  <c r="C42" i="1508"/>
  <c r="E42" i="1507" s="1"/>
  <c r="C37" i="1511"/>
  <c r="C42" i="1511" s="1"/>
  <c r="C58" i="1511"/>
  <c r="F24" i="1513"/>
  <c r="E46" i="1513"/>
  <c r="C37" i="1516"/>
  <c r="F10" i="1516"/>
  <c r="E8" i="1520"/>
  <c r="F8" i="1520" s="1"/>
  <c r="E8" i="1507"/>
  <c r="E10" i="1513"/>
  <c r="F10" i="1513" s="1"/>
  <c r="E47" i="1513"/>
  <c r="F47" i="1513" s="1"/>
  <c r="E53" i="1513"/>
  <c r="F53" i="1513" s="1"/>
  <c r="F31" i="1516"/>
  <c r="F52" i="1516"/>
  <c r="C37" i="1518"/>
  <c r="C42" i="1518" s="1"/>
  <c r="E46" i="1516"/>
  <c r="C41" i="1522"/>
  <c r="E41" i="1520" s="1"/>
  <c r="F41" i="1520" s="1"/>
  <c r="E36" i="1520"/>
  <c r="F36" i="1520" s="1"/>
  <c r="D14" i="1523"/>
  <c r="F53" i="1516"/>
  <c r="F13" i="1520"/>
  <c r="F46" i="1520"/>
  <c r="K10" i="1523"/>
  <c r="F38" i="1516" l="1"/>
  <c r="F8" i="1516"/>
  <c r="F46" i="1513"/>
  <c r="F8" i="1513"/>
  <c r="C58" i="1508"/>
  <c r="E58" i="1507" s="1"/>
  <c r="F58" i="1507" s="1"/>
  <c r="F46" i="1507"/>
  <c r="F42" i="1507"/>
  <c r="E58" i="1516"/>
  <c r="F58" i="1516" s="1"/>
  <c r="F8" i="1507"/>
  <c r="F37" i="1507"/>
  <c r="E58" i="1513"/>
  <c r="F58" i="1513" s="1"/>
  <c r="F46" i="1516"/>
  <c r="C10" i="1523"/>
  <c r="C42" i="1520"/>
  <c r="E42" i="1516"/>
  <c r="C42" i="1516"/>
  <c r="E42" i="1513"/>
  <c r="E37" i="1513"/>
  <c r="F37" i="1513" s="1"/>
  <c r="E37" i="1516"/>
  <c r="F37" i="1516" s="1"/>
  <c r="E42" i="1520"/>
  <c r="E37" i="1520"/>
  <c r="F37" i="1520" s="1"/>
  <c r="C42" i="1513"/>
  <c r="F42" i="1516" l="1"/>
  <c r="D10" i="1523"/>
  <c r="F42" i="1513"/>
  <c r="F42" i="1520"/>
  <c r="C39" i="1407" l="1"/>
  <c r="C37" i="1407"/>
  <c r="C48" i="1366"/>
  <c r="B12" i="1506"/>
  <c r="E12" i="1506"/>
  <c r="F12" i="1506" s="1"/>
  <c r="E13" i="1505"/>
  <c r="B13" i="1505"/>
  <c r="F25" i="1506"/>
  <c r="F24" i="1506"/>
  <c r="E21" i="1506"/>
  <c r="B21" i="1506"/>
  <c r="F18" i="1506"/>
  <c r="F17" i="1506"/>
  <c r="F16" i="1506"/>
  <c r="F15" i="1506"/>
  <c r="F14" i="1506"/>
  <c r="E13" i="1506"/>
  <c r="B13" i="1506"/>
  <c r="F11" i="1506"/>
  <c r="D9" i="1506"/>
  <c r="D26" i="1506" s="1"/>
  <c r="B9" i="1506"/>
  <c r="F8" i="1506"/>
  <c r="F6" i="1506"/>
  <c r="D104" i="1505"/>
  <c r="E103" i="1505"/>
  <c r="B103" i="1505"/>
  <c r="F99" i="1505"/>
  <c r="F97" i="1505"/>
  <c r="F96" i="1505"/>
  <c r="F95" i="1505"/>
  <c r="F88" i="1505"/>
  <c r="F85" i="1505"/>
  <c r="F84" i="1505"/>
  <c r="F83" i="1505"/>
  <c r="F82" i="1505"/>
  <c r="E81" i="1505"/>
  <c r="B81" i="1505"/>
  <c r="F80" i="1505"/>
  <c r="E78" i="1505"/>
  <c r="B78" i="1505"/>
  <c r="F78" i="1505" s="1"/>
  <c r="F77" i="1505"/>
  <c r="F76" i="1505"/>
  <c r="F75" i="1505"/>
  <c r="F74" i="1505"/>
  <c r="F73" i="1505"/>
  <c r="F72" i="1505"/>
  <c r="F71" i="1505"/>
  <c r="F70" i="1505"/>
  <c r="F69" i="1505"/>
  <c r="F68" i="1505"/>
  <c r="F67" i="1505"/>
  <c r="F65" i="1505"/>
  <c r="F64" i="1505"/>
  <c r="F63" i="1505"/>
  <c r="F62" i="1505"/>
  <c r="F61" i="1505"/>
  <c r="F60" i="1505"/>
  <c r="E59" i="1505"/>
  <c r="B59" i="1505"/>
  <c r="F56" i="1505"/>
  <c r="E54" i="1505"/>
  <c r="B54" i="1505"/>
  <c r="E53" i="1505"/>
  <c r="B53" i="1505"/>
  <c r="F53" i="1505" s="1"/>
  <c r="F52" i="1505"/>
  <c r="F51" i="1505"/>
  <c r="F50" i="1505"/>
  <c r="F49" i="1505"/>
  <c r="F48" i="1505"/>
  <c r="F47" i="1505"/>
  <c r="F46" i="1505"/>
  <c r="F45" i="1505"/>
  <c r="F44" i="1505"/>
  <c r="E43" i="1505"/>
  <c r="B43" i="1505"/>
  <c r="F42" i="1505"/>
  <c r="F41" i="1505"/>
  <c r="B39" i="1505"/>
  <c r="F39" i="1505" s="1"/>
  <c r="B38" i="1505"/>
  <c r="F38" i="1505" s="1"/>
  <c r="F37" i="1505"/>
  <c r="F36" i="1505"/>
  <c r="F34" i="1505"/>
  <c r="F33" i="1505"/>
  <c r="F32" i="1505"/>
  <c r="F26" i="1505"/>
  <c r="B23" i="1505"/>
  <c r="F22" i="1505"/>
  <c r="F21" i="1505"/>
  <c r="F20" i="1505"/>
  <c r="F19" i="1505"/>
  <c r="F18" i="1505"/>
  <c r="F17" i="1505"/>
  <c r="F16" i="1505"/>
  <c r="F15" i="1505"/>
  <c r="F14" i="1505"/>
  <c r="E12" i="1505"/>
  <c r="B12" i="1505"/>
  <c r="F11" i="1505"/>
  <c r="F10" i="1505"/>
  <c r="F9" i="1505"/>
  <c r="E5" i="1505"/>
  <c r="B5" i="1505"/>
  <c r="F12" i="1505" l="1"/>
  <c r="E104" i="1505"/>
  <c r="E26" i="1506"/>
  <c r="F54" i="1505"/>
  <c r="F103" i="1505"/>
  <c r="F13" i="1505"/>
  <c r="B104" i="1505"/>
  <c r="F35" i="1505"/>
  <c r="F43" i="1505"/>
  <c r="F58" i="1505"/>
  <c r="F59" i="1505"/>
  <c r="F81" i="1505"/>
  <c r="F86" i="1505"/>
  <c r="F9" i="1506"/>
  <c r="B26" i="1506"/>
  <c r="F5" i="1505"/>
  <c r="F13" i="1506"/>
  <c r="F26" i="1506" l="1"/>
  <c r="F104" i="1505"/>
  <c r="D36" i="1358"/>
  <c r="D36" i="1357"/>
  <c r="B24" i="1402" l="1"/>
  <c r="J10" i="1379"/>
  <c r="B28" i="1402" l="1"/>
  <c r="C41" i="1367"/>
  <c r="C54" i="1367"/>
  <c r="C54" i="1366"/>
  <c r="C41" i="1366"/>
  <c r="D51" i="1358" l="1"/>
  <c r="D38" i="1358"/>
  <c r="D51" i="1357"/>
  <c r="D38" i="1357"/>
  <c r="K7" i="1379" l="1"/>
  <c r="C28" i="1367"/>
  <c r="C27" i="1367"/>
  <c r="C21" i="1367"/>
  <c r="C28" i="1366"/>
  <c r="C27" i="1366"/>
  <c r="C21" i="1366"/>
  <c r="D25" i="1358"/>
  <c r="D24" i="1358"/>
  <c r="D25" i="1357"/>
  <c r="D24" i="1357"/>
  <c r="D31" i="1381" l="1"/>
  <c r="K53" i="1381"/>
  <c r="J53" i="1381"/>
  <c r="J41" i="1381" l="1"/>
  <c r="J42" i="1381"/>
  <c r="O42" i="1381" s="1"/>
  <c r="C42" i="1381"/>
  <c r="H42" i="1381" s="1"/>
  <c r="D53" i="1381"/>
  <c r="J52" i="1381"/>
  <c r="O52" i="1381" s="1"/>
  <c r="C52" i="1381"/>
  <c r="H52" i="1381" s="1"/>
  <c r="D44" i="1381"/>
  <c r="K50" i="1381"/>
  <c r="C31" i="1381"/>
  <c r="K34" i="1381"/>
  <c r="L22" i="1379" l="1"/>
  <c r="L21" i="1379"/>
  <c r="N7" i="1379"/>
  <c r="I6" i="1379"/>
  <c r="J6" i="1379"/>
  <c r="G6" i="1379"/>
  <c r="C29" i="1406"/>
  <c r="E29" i="1406" s="1"/>
  <c r="D36" i="1359" l="1"/>
  <c r="K21" i="1379" l="1"/>
  <c r="J21" i="1379"/>
  <c r="K26" i="1381" l="1"/>
  <c r="J26" i="1381"/>
  <c r="H26" i="1381"/>
  <c r="B38" i="1402"/>
  <c r="B41" i="1402" s="1"/>
  <c r="K22" i="1379"/>
  <c r="J22" i="1379"/>
  <c r="H20" i="1379"/>
  <c r="I20" i="1379"/>
  <c r="J20" i="1379"/>
  <c r="K20" i="1379"/>
  <c r="O26" i="1381" l="1"/>
  <c r="C43" i="1368" l="1"/>
  <c r="C39" i="1368"/>
  <c r="C99" i="1367"/>
  <c r="C99" i="1366"/>
  <c r="C43" i="1366"/>
  <c r="C39" i="1366"/>
  <c r="D119" i="1359"/>
  <c r="E119" i="1359"/>
  <c r="F119" i="1359"/>
  <c r="C123" i="1357"/>
  <c r="E98" i="1359"/>
  <c r="F98" i="1359"/>
  <c r="D116" i="1359"/>
  <c r="F18" i="1359" l="1"/>
  <c r="F17" i="1359"/>
  <c r="D99" i="1358"/>
  <c r="D105" i="1357"/>
  <c r="C107" i="1357"/>
  <c r="D99" i="1357"/>
  <c r="D98" i="1357" l="1"/>
  <c r="C38" i="1407" l="1"/>
  <c r="E38" i="1407" s="1"/>
  <c r="E43" i="1407"/>
  <c r="E42" i="1407"/>
  <c r="E41" i="1407"/>
  <c r="E40" i="1407"/>
  <c r="E33" i="1407"/>
  <c r="E32" i="1407"/>
  <c r="E31" i="1407"/>
  <c r="E30" i="1407"/>
  <c r="E29" i="1407"/>
  <c r="E28" i="1407"/>
  <c r="E27" i="1407"/>
  <c r="E39" i="1407"/>
  <c r="E37" i="1407"/>
  <c r="C44" i="1407" l="1"/>
  <c r="D24" i="1321" l="1"/>
  <c r="D20" i="1321" l="1"/>
  <c r="D6" i="1321"/>
  <c r="D32" i="1321" s="1"/>
  <c r="B42" i="1402" l="1"/>
  <c r="B48" i="1402" s="1"/>
  <c r="I17" i="1379"/>
  <c r="I16" i="1379"/>
  <c r="I11" i="1379"/>
  <c r="C156" i="1368"/>
  <c r="C156" i="1366"/>
  <c r="F18" i="1357" l="1"/>
  <c r="F95" i="1358" l="1"/>
  <c r="F94" i="1358"/>
  <c r="F95" i="1357" l="1"/>
  <c r="F94" i="1357"/>
  <c r="F17" i="1357"/>
  <c r="C15" i="1381" l="1"/>
  <c r="J15" i="1381"/>
  <c r="E55" i="1381"/>
  <c r="C43" i="1381"/>
  <c r="K38" i="1381"/>
  <c r="H22" i="1379"/>
  <c r="H17" i="1379"/>
  <c r="H16" i="1379"/>
  <c r="K11" i="1379"/>
  <c r="J8" i="1379"/>
  <c r="I8" i="1379"/>
  <c r="H8" i="1379"/>
  <c r="C35" i="1367"/>
  <c r="C57" i="1366"/>
  <c r="C35" i="1366"/>
  <c r="F117" i="1358" l="1"/>
  <c r="D54" i="1358"/>
  <c r="D32" i="1358"/>
  <c r="F95" i="1359" l="1"/>
  <c r="F94" i="1359"/>
  <c r="D54" i="1357" l="1"/>
  <c r="D32" i="1357"/>
  <c r="F96" i="1358" l="1"/>
  <c r="F96" i="1357"/>
  <c r="L58" i="1381" l="1"/>
  <c r="J51" i="1381"/>
  <c r="O51" i="1381" s="1"/>
  <c r="H51" i="1381"/>
  <c r="O31" i="1381"/>
  <c r="H31" i="1381"/>
  <c r="D22" i="1381"/>
  <c r="C27" i="1381"/>
  <c r="C38" i="1381"/>
  <c r="G15" i="1381"/>
  <c r="I21" i="1379" l="1"/>
  <c r="G17" i="1379"/>
  <c r="G16" i="1379"/>
  <c r="C39" i="1369" l="1"/>
  <c r="C76" i="1367"/>
  <c r="C40" i="1367"/>
  <c r="C76" i="1366"/>
  <c r="C40" i="1366"/>
  <c r="D99" i="1359" l="1"/>
  <c r="F39" i="1359"/>
  <c r="F36" i="1359"/>
  <c r="E73" i="1358"/>
  <c r="D73" i="1358"/>
  <c r="D73" i="1357" l="1"/>
  <c r="D12" i="1381" l="1"/>
  <c r="C12" i="1381"/>
  <c r="C13" i="1381"/>
  <c r="G21" i="1379"/>
  <c r="E20" i="1379"/>
  <c r="G20" i="1379"/>
  <c r="F17" i="1379"/>
  <c r="E17" i="1379"/>
  <c r="F16" i="1379"/>
  <c r="E16" i="1379"/>
  <c r="E11" i="1379"/>
  <c r="D30" i="1377"/>
  <c r="C110" i="1368" l="1"/>
  <c r="C98" i="1368" s="1"/>
  <c r="C105" i="1367"/>
  <c r="C105" i="1366"/>
  <c r="C98" i="1366" s="1"/>
  <c r="C58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D44" i="1407"/>
  <c r="B44" i="1407"/>
  <c r="D34" i="1407"/>
  <c r="C34" i="1407"/>
  <c r="B34" i="1407"/>
  <c r="D22" i="1407"/>
  <c r="B22" i="1407"/>
  <c r="D12" i="1407"/>
  <c r="C12" i="1407"/>
  <c r="B12" i="1407"/>
  <c r="D44" i="1357"/>
  <c r="D110" i="1359"/>
  <c r="D55" i="1359"/>
  <c r="D105" i="1358"/>
  <c r="D98" i="1358" s="1"/>
  <c r="E12" i="1407" l="1"/>
  <c r="E34" i="1407"/>
  <c r="E44" i="1407"/>
  <c r="C22" i="1407"/>
  <c r="E22" i="1407"/>
  <c r="O9" i="1379" l="1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C145" i="1368"/>
  <c r="C140" i="1368"/>
  <c r="C133" i="1368"/>
  <c r="C130" i="1368"/>
  <c r="C129" i="1368" s="1"/>
  <c r="C114" i="1368"/>
  <c r="C93" i="1368"/>
  <c r="C82" i="1368"/>
  <c r="C78" i="1368"/>
  <c r="C75" i="1368"/>
  <c r="C70" i="1368"/>
  <c r="C66" i="1368"/>
  <c r="C60" i="1368"/>
  <c r="C57" i="1368"/>
  <c r="C55" i="1368" s="1"/>
  <c r="C49" i="1368"/>
  <c r="C48" i="1368"/>
  <c r="D48" i="1366" s="1"/>
  <c r="C38" i="1368"/>
  <c r="C30" i="1368"/>
  <c r="C29" i="1368" s="1"/>
  <c r="C22" i="1368"/>
  <c r="C15" i="1368"/>
  <c r="C8" i="1368"/>
  <c r="C145" i="1367"/>
  <c r="C142" i="1367"/>
  <c r="C140" i="1367" s="1"/>
  <c r="C133" i="1367"/>
  <c r="C131" i="1367"/>
  <c r="C130" i="1367"/>
  <c r="C129" i="1367" s="1"/>
  <c r="C127" i="1367"/>
  <c r="C119" i="1367" s="1"/>
  <c r="C114" i="1367" s="1"/>
  <c r="C111" i="1367"/>
  <c r="C98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M61" i="1381" s="1"/>
  <c r="C127" i="1366"/>
  <c r="C119" i="1366" s="1"/>
  <c r="K61" i="1381" s="1"/>
  <c r="C111" i="1366"/>
  <c r="N61" i="1381" s="1"/>
  <c r="C82" i="1366"/>
  <c r="C78" i="1366"/>
  <c r="C75" i="1366"/>
  <c r="C70" i="1366"/>
  <c r="C67" i="1366"/>
  <c r="C66" i="1366" s="1"/>
  <c r="F61" i="1381" s="1"/>
  <c r="C60" i="1366"/>
  <c r="C55" i="1366"/>
  <c r="C51" i="1366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C153" i="1367" l="1"/>
  <c r="C37" i="1367"/>
  <c r="C49" i="1366"/>
  <c r="G61" i="1381"/>
  <c r="D61" i="1381"/>
  <c r="C89" i="1368"/>
  <c r="C153" i="1368"/>
  <c r="D82" i="1366"/>
  <c r="D38" i="1366"/>
  <c r="D51" i="1366"/>
  <c r="C30" i="1366"/>
  <c r="C37" i="1366"/>
  <c r="D57" i="1366"/>
  <c r="D66" i="1366"/>
  <c r="D75" i="1366"/>
  <c r="C37" i="1368"/>
  <c r="D37" i="1366" s="1"/>
  <c r="D55" i="1366"/>
  <c r="C153" i="1366"/>
  <c r="C30" i="1367"/>
  <c r="D30" i="1366" s="1"/>
  <c r="C128" i="1368"/>
  <c r="C93" i="1366"/>
  <c r="J61" i="1381" s="1"/>
  <c r="C93" i="1367"/>
  <c r="C128" i="1367" s="1"/>
  <c r="C154" i="1367" s="1"/>
  <c r="C89" i="1367"/>
  <c r="C65" i="1368"/>
  <c r="D15" i="1366"/>
  <c r="D8" i="1366"/>
  <c r="C29" i="1367"/>
  <c r="D29" i="1366" s="1"/>
  <c r="C89" i="1366"/>
  <c r="C90" i="1368" l="1"/>
  <c r="D89" i="1366"/>
  <c r="C29" i="1366"/>
  <c r="C65" i="1366" s="1"/>
  <c r="C90" i="1366" s="1"/>
  <c r="C128" i="1366"/>
  <c r="C154" i="1366" s="1"/>
  <c r="O61" i="1381"/>
  <c r="C154" i="1368"/>
  <c r="C65" i="1367"/>
  <c r="E61" i="1381" l="1"/>
  <c r="H61" i="1381" s="1"/>
  <c r="C90" i="1367"/>
  <c r="D90" i="1366" s="1"/>
  <c r="D65" i="1366"/>
  <c r="J56" i="1381"/>
  <c r="M56" i="1381"/>
  <c r="J55" i="1381"/>
  <c r="C50" i="1381"/>
  <c r="J50" i="1381"/>
  <c r="J46" i="1381"/>
  <c r="C44" i="1381"/>
  <c r="H44" i="1381" s="1"/>
  <c r="K43" i="1381"/>
  <c r="K32" i="1381" l="1"/>
  <c r="C29" i="1381"/>
  <c r="D24" i="1381"/>
  <c r="K24" i="1381"/>
  <c r="J24" i="1381"/>
  <c r="O22" i="1381"/>
  <c r="O21" i="1381"/>
  <c r="O20" i="1381"/>
  <c r="O19" i="1381"/>
  <c r="H23" i="1381"/>
  <c r="H22" i="1381"/>
  <c r="H21" i="1381"/>
  <c r="H20" i="1381"/>
  <c r="H19" i="1381"/>
  <c r="G57" i="1381"/>
  <c r="F57" i="1381"/>
  <c r="E57" i="1381"/>
  <c r="N57" i="1381"/>
  <c r="M57" i="1381"/>
  <c r="L57" i="1381"/>
  <c r="H24" i="1381" l="1"/>
  <c r="D57" i="1381"/>
  <c r="O24" i="1381"/>
  <c r="O23" i="1381"/>
  <c r="K13" i="1381"/>
  <c r="K57" i="1381" s="1"/>
  <c r="C11" i="1381"/>
  <c r="J57" i="1381"/>
  <c r="C10" i="1381"/>
  <c r="C57" i="1381" s="1"/>
  <c r="O58" i="1381" l="1"/>
  <c r="O53" i="1381"/>
  <c r="O50" i="1381"/>
  <c r="O49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6" i="1381"/>
  <c r="H55" i="1381"/>
  <c r="H53" i="1381"/>
  <c r="H50" i="1381"/>
  <c r="H49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H57" i="1381" l="1"/>
  <c r="O20" i="1379"/>
  <c r="C5" i="1379"/>
  <c r="C16" i="1406"/>
  <c r="C22" i="1406" s="1"/>
  <c r="E44" i="1406"/>
  <c r="D44" i="1406"/>
  <c r="C44" i="1406"/>
  <c r="B44" i="1406"/>
  <c r="D34" i="1406"/>
  <c r="C34" i="1406"/>
  <c r="B34" i="1406"/>
  <c r="E33" i="1406"/>
  <c r="E27" i="1406"/>
  <c r="D22" i="1406"/>
  <c r="B22" i="1406"/>
  <c r="E21" i="1406"/>
  <c r="E22" i="1406" s="1"/>
  <c r="E12" i="1406"/>
  <c r="D12" i="1406"/>
  <c r="C12" i="1406"/>
  <c r="B12" i="1406"/>
  <c r="O19" i="1379" l="1"/>
  <c r="O5" i="1379"/>
  <c r="E34" i="1406"/>
  <c r="B11" i="1402" l="1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B19" i="1402" l="1"/>
  <c r="B22" i="1402" s="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D32" i="1377"/>
  <c r="F145" i="1359" l="1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111" i="1358" s="1"/>
  <c r="C99" i="1358"/>
  <c r="C100" i="1358"/>
  <c r="C101" i="1358"/>
  <c r="C102" i="1358"/>
  <c r="C103" i="1358"/>
  <c r="C104" i="1358"/>
  <c r="C105" i="1358"/>
  <c r="C106" i="1358"/>
  <c r="C107" i="1358"/>
  <c r="C108" i="1358"/>
  <c r="C109" i="1358"/>
  <c r="C112" i="1358"/>
  <c r="C113" i="1358"/>
  <c r="E111" i="1357"/>
  <c r="D64" i="1357"/>
  <c r="D111" i="1357"/>
  <c r="D130" i="1357"/>
  <c r="D33" i="1357"/>
  <c r="D31" i="1357"/>
  <c r="D29" i="1357"/>
  <c r="C29" i="1357" s="1"/>
  <c r="D28" i="1357"/>
  <c r="C28" i="1357" s="1"/>
  <c r="C32" i="1357"/>
  <c r="C31" i="1357"/>
  <c r="C30" i="1357"/>
  <c r="H32" i="1378" l="1"/>
  <c r="H34" i="1378"/>
  <c r="H31" i="1378"/>
  <c r="H30" i="1378"/>
  <c r="H33" i="1378"/>
  <c r="H109" i="1357"/>
  <c r="H105" i="1357"/>
  <c r="H113" i="1357"/>
  <c r="H101" i="1357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C121" i="1357"/>
  <c r="C122" i="1357"/>
  <c r="H125" i="1378"/>
  <c r="C124" i="1357"/>
  <c r="C125" i="1357"/>
  <c r="C126" i="1357"/>
  <c r="C127" i="1357"/>
  <c r="E119" i="1357"/>
  <c r="D119" i="1357"/>
  <c r="H129" i="1378" l="1"/>
  <c r="H127" i="1378"/>
  <c r="H123" i="1378"/>
  <c r="H128" i="1378"/>
  <c r="H126" i="1378"/>
  <c r="H124" i="1378"/>
  <c r="H122" i="1378"/>
  <c r="C119" i="1357"/>
  <c r="D142" i="1357"/>
  <c r="D48" i="1357"/>
  <c r="E98" i="1357"/>
  <c r="C98" i="1357" s="1"/>
  <c r="C97" i="1357"/>
  <c r="C99" i="1357"/>
  <c r="C100" i="1357"/>
  <c r="C101" i="1357"/>
  <c r="C102" i="1357"/>
  <c r="C103" i="1357"/>
  <c r="C104" i="1357"/>
  <c r="C105" i="1357"/>
  <c r="C106" i="1357"/>
  <c r="H109" i="1378"/>
  <c r="C108" i="1357"/>
  <c r="C109" i="1357"/>
  <c r="C110" i="1357"/>
  <c r="C111" i="1357"/>
  <c r="C112" i="1357"/>
  <c r="C113" i="1357"/>
  <c r="H115" i="1378" l="1"/>
  <c r="H111" i="1378"/>
  <c r="H107" i="1378"/>
  <c r="H105" i="1378"/>
  <c r="H103" i="1378"/>
  <c r="H101" i="1378"/>
  <c r="H110" i="1378"/>
  <c r="H108" i="1378"/>
  <c r="H106" i="1378"/>
  <c r="H104" i="1378"/>
  <c r="H102" i="1378"/>
  <c r="E9" i="1362"/>
  <c r="H114" i="1378"/>
  <c r="E10" i="1361"/>
  <c r="H112" i="1378"/>
  <c r="P23" i="1379"/>
  <c r="H121" i="1378"/>
  <c r="E8" i="1361"/>
  <c r="P19" i="1379"/>
  <c r="H99" i="1378"/>
  <c r="E9" i="1361"/>
  <c r="P20" i="1379"/>
  <c r="H100" i="1378"/>
  <c r="P24" i="1379"/>
  <c r="H113" i="1378"/>
  <c r="C10" i="1372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E7" i="1361" l="1"/>
  <c r="P18" i="1379"/>
  <c r="H98" i="1378"/>
  <c r="E10" i="1378"/>
  <c r="E11" i="1378"/>
  <c r="E12" i="1378"/>
  <c r="C52" i="1372"/>
  <c r="C46" i="1372"/>
  <c r="C31" i="1372"/>
  <c r="C26" i="1372"/>
  <c r="C20" i="1372"/>
  <c r="C8" i="1372"/>
  <c r="H98" i="1357" l="1"/>
  <c r="H111" i="1357"/>
  <c r="D52" i="1369"/>
  <c r="D20" i="1369"/>
  <c r="D31" i="1369"/>
  <c r="D26" i="1369"/>
  <c r="C37" i="1372"/>
  <c r="C58" i="1372"/>
  <c r="D8" i="1369"/>
  <c r="D46" i="1369"/>
  <c r="E3" i="1361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l="1"/>
  <c r="H29" i="1378"/>
  <c r="C27" i="1359"/>
  <c r="D58" i="1369"/>
  <c r="D37" i="1369"/>
  <c r="O56" i="1381"/>
  <c r="O55" i="1381"/>
  <c r="N59" i="1381"/>
  <c r="N60" i="1381" s="1"/>
  <c r="M59" i="1381"/>
  <c r="M60" i="1381" s="1"/>
  <c r="G59" i="1381"/>
  <c r="G60" i="1381" s="1"/>
  <c r="F59" i="1381"/>
  <c r="F60" i="1381" s="1"/>
  <c r="L59" i="1381"/>
  <c r="L60" i="1381" s="1"/>
  <c r="E59" i="1381"/>
  <c r="E60" i="1381" s="1"/>
  <c r="J59" i="1381"/>
  <c r="J60" i="1381" s="1"/>
  <c r="C59" i="1381"/>
  <c r="C60" i="1381" s="1"/>
  <c r="I13" i="1381"/>
  <c r="I57" i="1381" s="1"/>
  <c r="I59" i="1381" s="1"/>
  <c r="I60" i="1381" s="1"/>
  <c r="D59" i="1381"/>
  <c r="D60" i="1381" s="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F95" i="1378" s="1"/>
  <c r="E100" i="1378"/>
  <c r="E99" i="1378"/>
  <c r="E98" i="1378"/>
  <c r="E97" i="1378"/>
  <c r="E96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J15" i="1523" s="1"/>
  <c r="C46" i="1369"/>
  <c r="E40" i="1369"/>
  <c r="C38" i="1369"/>
  <c r="E36" i="1369"/>
  <c r="E35" i="1369"/>
  <c r="E34" i="1369"/>
  <c r="E33" i="1369"/>
  <c r="E32" i="1369"/>
  <c r="C31" i="1369"/>
  <c r="E30" i="1369"/>
  <c r="E29" i="1369"/>
  <c r="E28" i="1369"/>
  <c r="E27" i="1369"/>
  <c r="C26" i="1369"/>
  <c r="E25" i="1369"/>
  <c r="E24" i="1369"/>
  <c r="E23" i="1369"/>
  <c r="E22" i="1369"/>
  <c r="E21" i="1369"/>
  <c r="C20" i="1369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C126" i="1359"/>
  <c r="C125" i="1359"/>
  <c r="C124" i="1359"/>
  <c r="C123" i="1359"/>
  <c r="C122" i="1359"/>
  <c r="C121" i="1359"/>
  <c r="C120" i="1359"/>
  <c r="C118" i="1359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C151" i="1358"/>
  <c r="C150" i="1358"/>
  <c r="C149" i="1358"/>
  <c r="C148" i="1358"/>
  <c r="C147" i="1358"/>
  <c r="C146" i="1358"/>
  <c r="E145" i="1358"/>
  <c r="D145" i="1358"/>
  <c r="C144" i="1358"/>
  <c r="C143" i="1358"/>
  <c r="C142" i="1358"/>
  <c r="C141" i="1358"/>
  <c r="E140" i="1358"/>
  <c r="D140" i="1358"/>
  <c r="C139" i="1358"/>
  <c r="C138" i="1358"/>
  <c r="C137" i="1358"/>
  <c r="C136" i="1358"/>
  <c r="C135" i="1358"/>
  <c r="C134" i="1358"/>
  <c r="E133" i="1358"/>
  <c r="D133" i="1358"/>
  <c r="C132" i="1358"/>
  <c r="C131" i="1358"/>
  <c r="C130" i="1358"/>
  <c r="E129" i="1358"/>
  <c r="D129" i="1358"/>
  <c r="C117" i="1358"/>
  <c r="C116" i="1358"/>
  <c r="C115" i="1358"/>
  <c r="E114" i="1358"/>
  <c r="D114" i="1358"/>
  <c r="C97" i="1358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C32" i="1358"/>
  <c r="C31" i="1358"/>
  <c r="C30" i="1358"/>
  <c r="C29" i="1358"/>
  <c r="C28" i="1358"/>
  <c r="C27" i="1358"/>
  <c r="E26" i="1358"/>
  <c r="D26" i="1358"/>
  <c r="E19" i="1358"/>
  <c r="C16" i="1358"/>
  <c r="C15" i="1358"/>
  <c r="C14" i="1358"/>
  <c r="C13" i="1358"/>
  <c r="E12" i="1358"/>
  <c r="D12" i="1358"/>
  <c r="C11" i="1358"/>
  <c r="E5" i="1358"/>
  <c r="C152" i="1357"/>
  <c r="C151" i="1357"/>
  <c r="C150" i="1357"/>
  <c r="C149" i="1357"/>
  <c r="C148" i="1357"/>
  <c r="C147" i="1357"/>
  <c r="C146" i="1357"/>
  <c r="E145" i="1357"/>
  <c r="D145" i="1357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2" i="1357"/>
  <c r="C131" i="1357"/>
  <c r="C130" i="1357"/>
  <c r="E129" i="1357"/>
  <c r="D129" i="1357"/>
  <c r="C118" i="1357"/>
  <c r="C117" i="1357"/>
  <c r="C116" i="1357"/>
  <c r="C115" i="1357"/>
  <c r="E114" i="1357"/>
  <c r="D114" i="1357"/>
  <c r="C95" i="1357"/>
  <c r="C94" i="1357"/>
  <c r="E93" i="1357"/>
  <c r="D93" i="1357"/>
  <c r="C91" i="1357"/>
  <c r="C85" i="1357"/>
  <c r="C84" i="1357"/>
  <c r="C83" i="1357"/>
  <c r="C82" i="1357"/>
  <c r="C81" i="1357"/>
  <c r="C80" i="1357"/>
  <c r="E79" i="1357"/>
  <c r="D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6" i="1357"/>
  <c r="C65" i="1357"/>
  <c r="C64" i="1357"/>
  <c r="E63" i="1357"/>
  <c r="D63" i="1357"/>
  <c r="C61" i="1357"/>
  <c r="C60" i="1357"/>
  <c r="C59" i="1357"/>
  <c r="C58" i="1357"/>
  <c r="E57" i="1357"/>
  <c r="D57" i="1357"/>
  <c r="C56" i="1357"/>
  <c r="C55" i="1357"/>
  <c r="C53" i="1357"/>
  <c r="E52" i="1357"/>
  <c r="C51" i="1357"/>
  <c r="C50" i="1357"/>
  <c r="C49" i="1357"/>
  <c r="C48" i="1357"/>
  <c r="C47" i="1357"/>
  <c r="E46" i="1357"/>
  <c r="D46" i="1357"/>
  <c r="C45" i="1357"/>
  <c r="C44" i="1357"/>
  <c r="C43" i="1357"/>
  <c r="C42" i="1357"/>
  <c r="C41" i="1357"/>
  <c r="C40" i="1357"/>
  <c r="C38" i="1357"/>
  <c r="C37" i="1357"/>
  <c r="C36" i="1357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8" i="1357"/>
  <c r="C17" i="1357"/>
  <c r="C16" i="1357"/>
  <c r="C15" i="1357"/>
  <c r="C14" i="1357"/>
  <c r="C13" i="1357"/>
  <c r="E12" i="1357"/>
  <c r="D12" i="1357"/>
  <c r="C11" i="1357"/>
  <c r="C10" i="1357"/>
  <c r="C9" i="1357"/>
  <c r="C8" i="1357"/>
  <c r="C7" i="1357"/>
  <c r="E5" i="1357"/>
  <c r="D5" i="1357"/>
  <c r="K15" i="1523" l="1"/>
  <c r="J16" i="1523"/>
  <c r="O57" i="1381"/>
  <c r="H16" i="1378"/>
  <c r="C7" i="1361"/>
  <c r="H25" i="1378"/>
  <c r="H37" i="1378"/>
  <c r="H41" i="1378"/>
  <c r="H50" i="1378"/>
  <c r="H84" i="1378"/>
  <c r="H86" i="1378"/>
  <c r="H138" i="1378"/>
  <c r="H140" i="1378"/>
  <c r="H143" i="1378"/>
  <c r="H152" i="1378"/>
  <c r="H121" i="1357"/>
  <c r="I121" i="1357" s="1"/>
  <c r="H125" i="1357"/>
  <c r="I125" i="1357" s="1"/>
  <c r="E26" i="1369"/>
  <c r="H9" i="1378"/>
  <c r="H11" i="1378"/>
  <c r="H13" i="1378"/>
  <c r="H18" i="1378"/>
  <c r="H23" i="1378"/>
  <c r="H39" i="1378"/>
  <c r="H43" i="1378"/>
  <c r="H45" i="1378"/>
  <c r="H52" i="1378"/>
  <c r="H57" i="1378"/>
  <c r="H60" i="1378"/>
  <c r="H62" i="1378"/>
  <c r="H68" i="1378"/>
  <c r="H71" i="1378"/>
  <c r="H73" i="1378"/>
  <c r="H76" i="1378"/>
  <c r="H79" i="1378"/>
  <c r="H82" i="1378"/>
  <c r="H136" i="1378"/>
  <c r="H145" i="1378"/>
  <c r="H148" i="1378"/>
  <c r="H150" i="1378"/>
  <c r="H154" i="1378"/>
  <c r="H118" i="1357"/>
  <c r="I118" i="1357" s="1"/>
  <c r="H123" i="1357"/>
  <c r="H127" i="1357"/>
  <c r="I127" i="1357" s="1"/>
  <c r="H10" i="1378"/>
  <c r="H12" i="1378"/>
  <c r="H15" i="1378"/>
  <c r="H17" i="1378"/>
  <c r="H22" i="1378"/>
  <c r="H24" i="1378"/>
  <c r="H35" i="1378"/>
  <c r="H40" i="1378"/>
  <c r="H44" i="1378"/>
  <c r="H46" i="1378"/>
  <c r="H49" i="1378"/>
  <c r="H51" i="1378"/>
  <c r="H53" i="1378"/>
  <c r="H55" i="1378"/>
  <c r="H58" i="1378"/>
  <c r="H61" i="1378"/>
  <c r="H63" i="1378"/>
  <c r="H70" i="1378"/>
  <c r="H72" i="1378"/>
  <c r="H78" i="1378"/>
  <c r="H80" i="1378"/>
  <c r="H83" i="1378"/>
  <c r="H85" i="1378"/>
  <c r="H87" i="1378"/>
  <c r="H134" i="1378"/>
  <c r="H137" i="1378"/>
  <c r="H139" i="1378"/>
  <c r="H141" i="1378"/>
  <c r="H146" i="1378"/>
  <c r="H149" i="1378"/>
  <c r="H151" i="1378"/>
  <c r="H153" i="1378"/>
  <c r="H122" i="1357"/>
  <c r="I122" i="1357" s="1"/>
  <c r="H124" i="1357"/>
  <c r="I124" i="1357" s="1"/>
  <c r="H126" i="1357"/>
  <c r="I126" i="1357" s="1"/>
  <c r="E31" i="1369"/>
  <c r="E7" i="1362"/>
  <c r="E5" i="1362"/>
  <c r="E6" i="1361"/>
  <c r="E5" i="1361"/>
  <c r="H47" i="1378"/>
  <c r="H42" i="1378"/>
  <c r="H38" i="1378"/>
  <c r="H19" i="1378"/>
  <c r="E20" i="1369"/>
  <c r="H97" i="1357"/>
  <c r="I97" i="1357" s="1"/>
  <c r="H130" i="1357"/>
  <c r="I130" i="1357" s="1"/>
  <c r="H132" i="1357"/>
  <c r="I132" i="1357" s="1"/>
  <c r="H135" i="1357"/>
  <c r="I135" i="1357" s="1"/>
  <c r="H137" i="1357"/>
  <c r="I137" i="1357" s="1"/>
  <c r="H139" i="1357"/>
  <c r="I139" i="1357" s="1"/>
  <c r="H142" i="1357"/>
  <c r="I142" i="1357" s="1"/>
  <c r="H144" i="1357"/>
  <c r="I144" i="1357" s="1"/>
  <c r="H147" i="1357"/>
  <c r="I147" i="1357" s="1"/>
  <c r="H151" i="1357"/>
  <c r="I151" i="1357" s="1"/>
  <c r="H131" i="1357"/>
  <c r="I131" i="1357" s="1"/>
  <c r="H134" i="1357"/>
  <c r="I134" i="1357" s="1"/>
  <c r="H136" i="1357"/>
  <c r="I136" i="1357" s="1"/>
  <c r="H138" i="1357"/>
  <c r="I138" i="1357" s="1"/>
  <c r="H141" i="1357"/>
  <c r="I141" i="1357" s="1"/>
  <c r="H146" i="1357"/>
  <c r="I146" i="1357" s="1"/>
  <c r="H148" i="1357"/>
  <c r="I148" i="1357" s="1"/>
  <c r="H150" i="1357"/>
  <c r="I150" i="1357" s="1"/>
  <c r="H152" i="1357"/>
  <c r="I152" i="1357" s="1"/>
  <c r="H15" i="1357"/>
  <c r="I15" i="1357" s="1"/>
  <c r="H30" i="1357"/>
  <c r="I30" i="1357" s="1"/>
  <c r="H11" i="1357"/>
  <c r="I11" i="1357" s="1"/>
  <c r="H14" i="1357"/>
  <c r="I14" i="1357" s="1"/>
  <c r="H16" i="1357"/>
  <c r="I16" i="1357" s="1"/>
  <c r="H29" i="1357"/>
  <c r="I29" i="1357" s="1"/>
  <c r="H31" i="1357"/>
  <c r="I31" i="1357" s="1"/>
  <c r="H33" i="1357"/>
  <c r="I33" i="1357" s="1"/>
  <c r="F155" i="1378"/>
  <c r="C57" i="1357"/>
  <c r="D86" i="1357"/>
  <c r="C79" i="1357"/>
  <c r="C133" i="1357"/>
  <c r="C145" i="1357"/>
  <c r="H37" i="1357"/>
  <c r="I37" i="1357" s="1"/>
  <c r="H41" i="1357"/>
  <c r="I41" i="1357" s="1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I66" i="1357" s="1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I73" i="1357" s="1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E54" i="1378"/>
  <c r="C12" i="1357"/>
  <c r="C19" i="1357"/>
  <c r="E86" i="1357"/>
  <c r="C67" i="1357"/>
  <c r="C12" i="1359"/>
  <c r="E86" i="1359"/>
  <c r="P12" i="1379"/>
  <c r="Q12" i="1379" s="1"/>
  <c r="C24" i="1362"/>
  <c r="C23" i="1362" s="1"/>
  <c r="C29" i="1362" s="1"/>
  <c r="H66" i="1378"/>
  <c r="C24" i="1361"/>
  <c r="H67" i="1378"/>
  <c r="D153" i="1357"/>
  <c r="E20" i="1362"/>
  <c r="E18" i="1362" s="1"/>
  <c r="E29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I120" i="1357" s="1"/>
  <c r="C119" i="1359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C5" i="1357"/>
  <c r="E153" i="1357"/>
  <c r="H13" i="1357"/>
  <c r="I13" i="1357" s="1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F64" i="1378"/>
  <c r="E88" i="1378"/>
  <c r="G155" i="1378"/>
  <c r="G156" i="1378" s="1"/>
  <c r="H27" i="1357"/>
  <c r="I27" i="1357" s="1"/>
  <c r="C140" i="1357"/>
  <c r="C52" i="1358"/>
  <c r="H58" i="1357"/>
  <c r="I58" i="1357" s="1"/>
  <c r="D86" i="1358"/>
  <c r="H149" i="1357"/>
  <c r="I149" i="1357" s="1"/>
  <c r="D153" i="1359"/>
  <c r="G64" i="1378"/>
  <c r="F88" i="1378"/>
  <c r="F130" i="1378"/>
  <c r="C75" i="1357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8" i="1357"/>
  <c r="D128" i="1359"/>
  <c r="D128" i="1357"/>
  <c r="C72" i="1357"/>
  <c r="C46" i="1357"/>
  <c r="E62" i="1357"/>
  <c r="C34" i="1357"/>
  <c r="E128" i="1357"/>
  <c r="C114" i="1357"/>
  <c r="I27" i="1379"/>
  <c r="K27" i="1379"/>
  <c r="M27" i="1379"/>
  <c r="G27" i="1379"/>
  <c r="C58" i="1369"/>
  <c r="E58" i="1369" s="1"/>
  <c r="F49" i="1366"/>
  <c r="I9" i="1357"/>
  <c r="I10" i="1357"/>
  <c r="I17" i="1357"/>
  <c r="I24" i="1357"/>
  <c r="I25" i="1357"/>
  <c r="I98" i="1357"/>
  <c r="I99" i="1357"/>
  <c r="I110" i="1357"/>
  <c r="I111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62" i="1359"/>
  <c r="C26" i="1359"/>
  <c r="C26" i="1358"/>
  <c r="C26" i="1357"/>
  <c r="D62" i="1359"/>
  <c r="C62" i="1359" s="1"/>
  <c r="D153" i="1358"/>
  <c r="C72" i="1358"/>
  <c r="E86" i="1358"/>
  <c r="E62" i="1358"/>
  <c r="C129" i="1357"/>
  <c r="C93" i="1357"/>
  <c r="C63" i="1357"/>
  <c r="I18" i="1357"/>
  <c r="I20" i="1357"/>
  <c r="I21" i="1357"/>
  <c r="I22" i="1357"/>
  <c r="I23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23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9" i="1381"/>
  <c r="K60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O59" i="1381" l="1"/>
  <c r="O60" i="1381" s="1"/>
  <c r="P57" i="1381"/>
  <c r="K16" i="1523"/>
  <c r="F156" i="1378"/>
  <c r="E17" i="1361"/>
  <c r="C86" i="1359"/>
  <c r="G29" i="1362"/>
  <c r="H65" i="1378"/>
  <c r="H74" i="1378"/>
  <c r="H142" i="1378"/>
  <c r="H147" i="1378"/>
  <c r="H81" i="1378"/>
  <c r="H59" i="1378"/>
  <c r="H131" i="1378"/>
  <c r="C8" i="1361"/>
  <c r="C10" i="1361"/>
  <c r="H77" i="1378"/>
  <c r="C5" i="1361"/>
  <c r="H119" i="1357"/>
  <c r="I119" i="1357" s="1"/>
  <c r="H69" i="1378"/>
  <c r="H135" i="1378"/>
  <c r="E16" i="1362"/>
  <c r="E30" i="1362" s="1"/>
  <c r="H116" i="1378"/>
  <c r="H95" i="1378"/>
  <c r="C9" i="1361"/>
  <c r="C6" i="1361"/>
  <c r="P7" i="1379"/>
  <c r="Q7" i="1379" s="1"/>
  <c r="C5" i="1362"/>
  <c r="H46" i="1357"/>
  <c r="H75" i="1357"/>
  <c r="I75" i="1357" s="1"/>
  <c r="H21" i="1378"/>
  <c r="E87" i="1359"/>
  <c r="H145" i="1357"/>
  <c r="I145" i="1357" s="1"/>
  <c r="C86" i="1357"/>
  <c r="E154" i="1357"/>
  <c r="D154" i="1359"/>
  <c r="H67" i="1357"/>
  <c r="I67" i="1357" s="1"/>
  <c r="E29" i="1361"/>
  <c r="C153" i="1357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C86" i="1358"/>
  <c r="C153" i="1358"/>
  <c r="E87" i="1357"/>
  <c r="D154" i="1357"/>
  <c r="E154" i="1359"/>
  <c r="H12" i="1357"/>
  <c r="I12" i="1357" s="1"/>
  <c r="H114" i="1357"/>
  <c r="I114" i="1357" s="1"/>
  <c r="P6" i="1379"/>
  <c r="Q6" i="1379" s="1"/>
  <c r="E130" i="1378"/>
  <c r="E156" i="1378" s="1"/>
  <c r="H26" i="1357"/>
  <c r="I26" i="1357" s="1"/>
  <c r="I46" i="1357"/>
  <c r="C7" i="1362"/>
  <c r="P10" i="1379"/>
  <c r="Q10" i="1379" s="1"/>
  <c r="H48" i="1378"/>
  <c r="C28" i="1361"/>
  <c r="G28" i="1361" s="1"/>
  <c r="C128" i="1359"/>
  <c r="C158" i="1359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H59" i="1381"/>
  <c r="H60" i="1381" s="1"/>
  <c r="C37" i="1369"/>
  <c r="B15" i="1523" s="1"/>
  <c r="B16" i="1523" s="1"/>
  <c r="E8" i="1369"/>
  <c r="F128" i="1366"/>
  <c r="E128" i="1366"/>
  <c r="F65" i="1366"/>
  <c r="E65" i="1366"/>
  <c r="F153" i="1366"/>
  <c r="E153" i="1366"/>
  <c r="F66" i="1366"/>
  <c r="E66" i="1366"/>
  <c r="D62" i="1358"/>
  <c r="C5" i="1358"/>
  <c r="D93" i="1358"/>
  <c r="D62" i="1357"/>
  <c r="C17" i="1361" l="1"/>
  <c r="E30" i="1361" s="1"/>
  <c r="C15" i="1523"/>
  <c r="C16" i="1362"/>
  <c r="G16" i="1362" s="1"/>
  <c r="P25" i="1379"/>
  <c r="P26" i="1379" s="1"/>
  <c r="Q26" i="1379" s="1"/>
  <c r="P13" i="1379"/>
  <c r="Q13" i="1379" s="1"/>
  <c r="H130" i="1378"/>
  <c r="H86" i="1357"/>
  <c r="I86" i="1357" s="1"/>
  <c r="C154" i="1357"/>
  <c r="H88" i="1378"/>
  <c r="C159" i="1357"/>
  <c r="C87" i="1359"/>
  <c r="C154" i="1359"/>
  <c r="H155" i="1378"/>
  <c r="Q25" i="1379"/>
  <c r="C159" i="1358"/>
  <c r="H153" i="1357"/>
  <c r="I153" i="1357" s="1"/>
  <c r="C31" i="1362"/>
  <c r="E31" i="1362"/>
  <c r="C30" i="1362"/>
  <c r="C159" i="1359"/>
  <c r="H5" i="1357"/>
  <c r="I5" i="1357" s="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C62" i="1358"/>
  <c r="C62" i="1357"/>
  <c r="D87" i="1357"/>
  <c r="C30" i="1361" l="1"/>
  <c r="G17" i="1361"/>
  <c r="C29" i="1361"/>
  <c r="C31" i="1361" s="1"/>
  <c r="D15" i="1523"/>
  <c r="D16" i="1523" s="1"/>
  <c r="C16" i="1523"/>
  <c r="P14" i="1379"/>
  <c r="Q14" i="1379" s="1"/>
  <c r="H156" i="1378"/>
  <c r="H64" i="1378"/>
  <c r="H87" i="1357"/>
  <c r="H62" i="1357"/>
  <c r="I62" i="1357" s="1"/>
  <c r="C32" i="1362"/>
  <c r="E32" i="1362"/>
  <c r="E31" i="1361"/>
  <c r="H93" i="1357"/>
  <c r="I93" i="1357" s="1"/>
  <c r="C87" i="1357"/>
  <c r="D154" i="1358"/>
  <c r="C154" i="1358" s="1"/>
  <c r="C128" i="1358"/>
  <c r="C158" i="1357"/>
  <c r="H128" i="1357" l="1"/>
  <c r="I128" i="1357" s="1"/>
  <c r="I87" i="1357"/>
  <c r="H89" i="1378"/>
  <c r="H154" i="1357"/>
  <c r="I154" i="1357" s="1"/>
  <c r="C158" i="1358"/>
  <c r="D41" i="1369" l="1"/>
  <c r="E41" i="1369" s="1"/>
  <c r="C38" i="1372"/>
  <c r="C42" i="1372" s="1"/>
  <c r="D42" i="1369" l="1"/>
  <c r="E42" i="1369" s="1"/>
  <c r="D38" i="1369"/>
  <c r="E38" i="1369" s="1"/>
</calcChain>
</file>

<file path=xl/sharedStrings.xml><?xml version="1.0" encoding="utf-8"?>
<sst xmlns="http://schemas.openxmlformats.org/spreadsheetml/2006/main" count="4542" uniqueCount="851">
  <si>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</si>
  <si>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</si>
  <si>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</si>
  <si>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</si>
  <si>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</si>
  <si>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</si>
  <si>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</si>
  <si>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</si>
  <si>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</si>
  <si>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</si>
  <si>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</si>
  <si>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</si>
  <si>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</si>
  <si>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</si>
  <si>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</si>
  <si>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</si>
  <si>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</si>
  <si>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</si>
  <si>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</si>
  <si>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</si>
  <si>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</si>
  <si>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</si>
  <si>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</si>
  <si>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</si>
  <si>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</si>
  <si>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</si>
  <si>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</si>
  <si>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</si>
  <si>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</si>
  <si>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</si>
  <si>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</si>
  <si>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</si>
  <si>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</si>
  <si>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</si>
  <si>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</si>
  <si>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</si>
  <si>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</si>
  <si>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</si>
  <si>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</si>
  <si>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</si>
  <si>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</si>
  <si>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</si>
  <si>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</si>
  <si>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</si>
  <si>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</si>
  <si>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</si>
  <si>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</si>
  <si>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</si>
  <si>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</si>
  <si>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</si>
  <si>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</si>
  <si>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</si>
  <si>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</si>
  <si>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</si>
  <si>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</si>
  <si>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</si>
  <si>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</si>
  <si>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</si>
  <si>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</si>
  <si>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</si>
  <si>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</si>
  <si>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</si>
  <si>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</si>
  <si>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</si>
  <si>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</si>
  <si>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</si>
  <si>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</si>
  <si>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</si>
  <si>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</si>
  <si>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</si>
  <si>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</si>
  <si>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</si>
  <si>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</si>
  <si>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</si>
  <si>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</si>
  <si>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</si>
  <si>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</si>
  <si>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</si>
  <si>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</si>
  <si>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</si>
  <si>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</si>
  <si>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</si>
  <si>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</si>
  <si>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</si>
  <si>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</si>
  <si>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</si>
  <si>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</si>
  <si>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</si>
  <si>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</si>
  <si>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</si>
  <si>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</si>
  <si>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</si>
  <si>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</si>
  <si>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</si>
  <si>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</si>
  <si>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</si>
  <si>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</si>
  <si>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</si>
  <si>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</si>
  <si>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</si>
  <si>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</si>
  <si>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</si>
  <si>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</si>
  <si>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</si>
  <si>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</si>
  <si>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</si>
  <si>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</si>
  <si>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</si>
  <si>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</si>
  <si>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</si>
  <si>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</si>
  <si>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</si>
  <si>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</si>
  <si>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</si>
  <si>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</si>
  <si>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</si>
  <si>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</si>
  <si>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</si>
  <si>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</si>
  <si>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</si>
  <si>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</si>
  <si>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</si>
  <si>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</si>
  <si>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</si>
  <si>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</si>
  <si>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</si>
  <si>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</si>
  <si>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</si>
  <si>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</si>
  <si>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</si>
  <si>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</si>
  <si>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</si>
  <si>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</si>
  <si>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</si>
  <si>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</si>
  <si>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</si>
  <si>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</si>
  <si>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</si>
  <si>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</si>
  <si>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</si>
  <si>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</si>
  <si>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</si>
  <si>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</si>
  <si>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</si>
  <si>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</si>
  <si>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</si>
  <si>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</si>
  <si>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</si>
  <si>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</si>
  <si>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</si>
  <si>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</si>
  <si>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</si>
  <si>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</si>
  <si>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</si>
  <si>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</si>
  <si>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</si>
  <si>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</si>
  <si>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</si>
  <si>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</si>
  <si>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</si>
  <si>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</si>
  <si>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</si>
  <si>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</si>
  <si>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</si>
  <si>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</si>
  <si>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</si>
  <si>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</si>
  <si>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</si>
  <si>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</si>
  <si>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</si>
  <si>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</si>
  <si>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</si>
  <si>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</si>
  <si>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</si>
  <si>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</si>
  <si>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</si>
  <si>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</si>
  <si>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</si>
  <si>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</si>
  <si>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</si>
  <si>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</si>
  <si>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</si>
  <si>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</si>
  <si>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</si>
  <si>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</si>
  <si>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</si>
  <si>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</si>
  <si>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</si>
  <si>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</si>
  <si>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</si>
  <si>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</si>
  <si>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</si>
  <si>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</si>
  <si>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</si>
  <si>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</si>
  <si>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</si>
  <si>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</si>
  <si>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</si>
  <si>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</si>
  <si>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</si>
  <si>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</si>
  <si>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</si>
  <si>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</si>
  <si>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</si>
  <si>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</si>
  <si>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</si>
  <si>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</si>
  <si>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</si>
  <si>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</si>
  <si>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</si>
  <si>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</si>
  <si>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</si>
  <si>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</si>
  <si>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</si>
  <si>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</si>
  <si>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</si>
  <si>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</si>
  <si>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</si>
  <si>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</si>
  <si>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</si>
  <si>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</si>
  <si>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</si>
  <si>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</si>
  <si>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</si>
  <si>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</si>
  <si>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</si>
  <si>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</si>
  <si>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</si>
  <si>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</si>
  <si>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</si>
  <si>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</si>
  <si>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</si>
  <si>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</si>
  <si>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</si>
  <si>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</si>
  <si>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</si>
  <si>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</si>
  <si>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</si>
  <si>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</si>
  <si>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</si>
  <si>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</si>
  <si>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</si>
  <si>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</si>
  <si>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</si>
  <si>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</si>
  <si>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</si>
  <si>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</si>
  <si>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</si>
  <si>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</si>
  <si>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</si>
  <si>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</si>
  <si>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</si>
  <si>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</si>
  <si>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</si>
  <si>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</si>
  <si>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</si>
  <si>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</si>
  <si>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</si>
  <si>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</si>
  <si>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</si>
  <si>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</si>
  <si>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</si>
  <si>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</si>
  <si>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</si>
  <si>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</si>
  <si>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</si>
  <si>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</si>
  <si>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</si>
  <si>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</si>
  <si>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</si>
  <si>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</si>
  <si>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</si>
  <si>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</si>
  <si>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</si>
  <si>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</si>
  <si>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</si>
  <si>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</si>
  <si>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</si>
  <si>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</si>
  <si>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</si>
  <si>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</si>
  <si>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</si>
  <si>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</si>
  <si>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</si>
  <si>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</si>
  <si>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</si>
  <si>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</si>
  <si>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</si>
  <si>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</si>
  <si>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</si>
  <si>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</si>
  <si>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</si>
  <si>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</si>
  <si>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</si>
  <si>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</si>
  <si>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</si>
  <si>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</si>
  <si>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</si>
  <si>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</si>
  <si>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</si>
  <si>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</si>
  <si>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</si>
  <si>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</si>
  <si>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</si>
  <si>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</si>
  <si>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</si>
  <si>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</si>
  <si>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</si>
  <si>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</si>
  <si>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</si>
  <si>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</si>
  <si>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</si>
  <si>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</si>
  <si>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</si>
  <si>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</si>
  <si>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</si>
  <si>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</si>
  <si>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</si>
  <si>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</si>
  <si>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</si>
  <si>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</si>
  <si>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</si>
  <si>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</si>
  <si>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</si>
  <si>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</si>
  <si>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</si>
  <si>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</si>
  <si>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</si>
  <si>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</si>
  <si>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</si>
  <si>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</si>
  <si>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</si>
  <si>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</si>
  <si>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</si>
  <si>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</si>
  <si>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</si>
  <si>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</si>
  <si>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</si>
  <si>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</si>
  <si>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</si>
  <si>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</si>
  <si>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</si>
  <si>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</si>
  <si>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</si>
  <si>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</si>
  <si>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</si>
  <si>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</si>
  <si>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</si>
  <si>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</si>
  <si>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</si>
  <si>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</si>
  <si>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</si>
  <si>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</si>
  <si>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</si>
  <si>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</si>
  <si>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</si>
  <si>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</si>
  <si>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</si>
  <si>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</si>
  <si>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</si>
  <si>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</si>
  <si>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</si>
  <si>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</si>
  <si>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</si>
  <si>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</si>
  <si>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</si>
  <si>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</si>
  <si>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</si>
  <si>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</si>
  <si>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</si>
  <si>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</si>
  <si>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</si>
  <si>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</si>
  <si>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</si>
  <si>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</si>
  <si>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</si>
  <si>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</si>
  <si>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</si>
  <si>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</si>
  <si>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</si>
  <si>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</si>
  <si>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</si>
  <si>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</si>
  <si>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</si>
  <si>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</si>
  <si>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</si>
  <si>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</si>
  <si>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</si>
  <si>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</si>
  <si>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</si>
  <si>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</si>
  <si>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</si>
  <si>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</si>
  <si>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</si>
  <si>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</si>
  <si>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</si>
  <si>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</si>
  <si>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</si>
  <si>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</si>
  <si>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</si>
  <si>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</si>
  <si>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</si>
  <si>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</si>
  <si>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</si>
  <si>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</si>
  <si>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</si>
  <si>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</si>
  <si>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</si>
  <si>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</si>
  <si>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</si>
  <si>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</si>
  <si>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</si>
  <si>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</si>
  <si>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</si>
  <si>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</si>
  <si>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</si>
  <si>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</si>
  <si>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</si>
  <si>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</si>
  <si>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</si>
  <si>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</si>
  <si>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</si>
  <si>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</si>
  <si>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</si>
  <si>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</si>
  <si>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</si>
  <si>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</si>
  <si>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</si>
  <si>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</si>
  <si>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</si>
  <si>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</si>
  <si>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</si>
  <si>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</si>
  <si>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</si>
  <si>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</si>
  <si>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</si>
  <si>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</si>
  <si>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</si>
  <si>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</si>
  <si>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</si>
  <si>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</si>
  <si>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</si>
  <si>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</si>
  <si>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</si>
  <si>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</si>
  <si>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</si>
  <si>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</si>
  <si>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</si>
  <si>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</si>
  <si>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</si>
  <si>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</si>
  <si>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</si>
  <si>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</si>
  <si>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</si>
  <si>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</si>
  <si>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</si>
  <si>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</si>
  <si>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</si>
  <si>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</si>
  <si>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</si>
  <si>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</si>
  <si>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</si>
  <si>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</si>
  <si>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</si>
  <si>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</si>
  <si>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</si>
  <si>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</si>
  <si>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</si>
  <si>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</si>
  <si>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</si>
  <si>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</si>
  <si>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</si>
  <si>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</si>
  <si>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</si>
  <si>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</si>
  <si>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</si>
  <si>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</si>
  <si>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</si>
  <si>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</si>
  <si>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</si>
  <si>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</si>
  <si>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</si>
  <si>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</si>
  <si>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</si>
  <si>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</si>
  <si>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</si>
  <si>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</si>
  <si>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</si>
  <si>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</si>
  <si>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</si>
  <si>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</si>
  <si>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</si>
  <si>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</si>
  <si>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</si>
  <si>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</si>
  <si>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</si>
  <si>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</si>
  <si>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</si>
  <si>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</si>
  <si>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</si>
  <si>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</si>
  <si>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</si>
  <si>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</si>
  <si>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</si>
  <si>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</si>
  <si>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</si>
  <si>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</si>
  <si>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</si>
  <si>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</si>
  <si>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</si>
  <si>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</si>
  <si>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</si>
  <si>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</si>
  <si>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</si>
  <si>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</si>
  <si>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</si>
  <si>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</si>
  <si>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</si>
  <si>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</si>
  <si>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</si>
  <si>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</si>
  <si>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</si>
  <si>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</si>
  <si>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</si>
  <si>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</si>
  <si>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</si>
  <si>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</si>
  <si>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</si>
  <si>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</si>
  <si>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</si>
  <si>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</si>
  <si>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</si>
  <si>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</si>
  <si>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</si>
  <si>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</si>
  <si>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</si>
  <si>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</si>
  <si>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</si>
  <si>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</si>
  <si>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</si>
  <si>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</si>
  <si>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</si>
  <si>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</si>
  <si>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</si>
  <si>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</si>
  <si>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</si>
  <si>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</si>
  <si>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</si>
  <si>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</si>
  <si>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</si>
  <si>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</si>
  <si>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</si>
  <si>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</si>
  <si>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</si>
  <si>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</si>
  <si>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</si>
  <si>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</si>
  <si>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</si>
  <si>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</si>
  <si>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</si>
  <si>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</si>
  <si>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</si>
  <si>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</si>
  <si>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</si>
  <si>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</si>
  <si>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</si>
  <si>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</si>
  <si>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</si>
  <si>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</si>
  <si>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</si>
  <si>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</si>
  <si>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</si>
  <si>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</si>
  <si>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</si>
  <si>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</si>
  <si>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</si>
  <si>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</si>
  <si>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</si>
  <si>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</si>
  <si>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</si>
  <si>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</si>
  <si>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</si>
  <si>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</si>
  <si>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</si>
  <si>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</si>
  <si>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</si>
  <si>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</si>
  <si>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</si>
  <si>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</si>
  <si>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</si>
  <si>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</si>
  <si>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</si>
  <si>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</si>
  <si>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</si>
  <si>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</si>
  <si>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</si>
  <si>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</si>
  <si>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</si>
  <si>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</si>
  <si>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</si>
  <si>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</si>
  <si>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</si>
  <si>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</si>
  <si>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</si>
  <si>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</si>
  <si>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</si>
  <si>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</si>
  <si>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</si>
  <si>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</si>
  <si>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</si>
  <si>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</si>
  <si>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</si>
  <si>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</si>
  <si>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</si>
  <si>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K I M U T A T Á S
a 2019. évben céljelleggel juttatandó támogatásokról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</si>
  <si>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</si>
  <si>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</si>
  <si>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</si>
  <si>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</si>
  <si>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</si>
  <si>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</si>
  <si>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</si>
  <si>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</si>
  <si>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</si>
  <si>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</si>
  <si>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</si>
  <si>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</si>
  <si>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</si>
  <si>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</si>
  <si>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</si>
  <si>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</si>
  <si>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</si>
  <si>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</si>
  <si>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</si>
  <si>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</si>
  <si>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</si>
  <si>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</si>
  <si>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</si>
  <si>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</si>
  <si>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</si>
  <si>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</si>
  <si>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</si>
  <si>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</si>
  <si>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</si>
  <si>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</si>
  <si>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</si>
  <si>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</si>
  <si>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</si>
  <si>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</si>
  <si>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</si>
  <si>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</si>
  <si>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</si>
  <si>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144 és 145 helyrajzi számú ingatlanok megvásárlás</t>
  </si>
  <si>
    <t>Közúti jelzőtáblák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</si>
  <si>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</si>
  <si>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</si>
  <si>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</si>
  <si>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</si>
  <si>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</si>
  <si>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</si>
  <si>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</si>
  <si>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</si>
  <si>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</si>
  <si>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</si>
  <si>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</si>
  <si>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</si>
  <si>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</si>
  <si>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</si>
  <si>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</si>
  <si>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</si>
  <si>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</si>
  <si>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</si>
  <si>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</si>
  <si>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</si>
  <si>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</si>
  <si>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</si>
  <si>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</si>
  <si>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</si>
  <si>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</si>
  <si>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</si>
  <si>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</si>
  <si>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</si>
  <si>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</si>
  <si>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</si>
  <si>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</si>
  <si>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</si>
  <si>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Zárt közkerítés felújítása a Lurkó-kuckó Óvodában</t>
  </si>
  <si>
    <t>Oldalkerítés felújítása a Fülemüle Óvodában</t>
  </si>
  <si>
    <t>Tiszavasvári Város Önkormányzata</t>
  </si>
  <si>
    <t>EFOP 3.2.9-16 pályázat keretében foglalkoztatott létszám</t>
  </si>
  <si>
    <t>Gyakorlati képzés (fő)</t>
  </si>
  <si>
    <t>Gyernekétkeztetés támogatása (bértámogatás)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</si>
  <si>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</si>
  <si>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</si>
  <si>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</si>
  <si>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</si>
  <si>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</si>
  <si>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</si>
  <si>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Külterületi helyi közutak fejlesztése, önkormányzati utak kezeléséhez, állapotjavításához, karbantartásához szükséges erő- és munkagépek beszerzése; 1826749179 sz. pályázat</t>
  </si>
  <si>
    <t>EU-s projekt neve, azonosítója: Esély és otthon - mindkettő lehetséges! Komplex beavatkozások megvalósítása a fiatalok elvándorlásának csökkentése érdekében Tiszavasváriban, EFOP-1.2.11-16-2017-00009</t>
  </si>
  <si>
    <t>Külterületi helyi közutak fejlesztése - Sopron úti pályázat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</si>
  <si>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</si>
  <si>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</si>
  <si>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</si>
  <si>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</si>
  <si>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</si>
  <si>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</si>
  <si>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</si>
  <si>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</si>
  <si>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</si>
  <si>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</si>
  <si>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</si>
  <si>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</si>
  <si>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</si>
  <si>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</si>
  <si>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</si>
  <si>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</si>
  <si>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</si>
  <si>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</si>
  <si>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</si>
  <si>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</si>
  <si>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</si>
  <si>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</si>
  <si>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</si>
  <si>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</si>
  <si>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</si>
  <si>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</si>
  <si>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</si>
  <si>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</si>
  <si>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</si>
  <si>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</si>
  <si>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</si>
  <si>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</si>
  <si>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</si>
  <si>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</si>
  <si>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</si>
  <si>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</si>
  <si>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</si>
  <si>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</si>
  <si>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</si>
  <si>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</si>
  <si>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</si>
  <si>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</si>
  <si>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</si>
  <si>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</si>
  <si>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</si>
  <si>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</si>
  <si>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</si>
  <si>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</si>
  <si>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</si>
  <si>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</si>
  <si>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</si>
  <si>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</si>
  <si>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</si>
  <si>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</si>
  <si>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</si>
  <si>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</si>
  <si>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</si>
  <si>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</si>
  <si>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</si>
  <si>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</si>
  <si>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</si>
  <si>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</si>
  <si>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</si>
  <si>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</si>
  <si>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</si>
  <si>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</si>
  <si>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</si>
  <si>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</si>
  <si>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</si>
  <si>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</si>
  <si>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</si>
  <si>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</si>
  <si>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</si>
  <si>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</si>
  <si>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</si>
  <si>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Tiva-Szolg Kft. - önk. cégek beolv. kiadásaira tám.</t>
  </si>
  <si>
    <t>Találkozások tere kialakítása Tiszavasváriban pályázat megvalósítás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</si>
  <si>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</si>
  <si>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</si>
  <si>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</si>
  <si>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</si>
  <si>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</si>
  <si>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</si>
  <si>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</si>
  <si>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</si>
  <si>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</si>
  <si>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</si>
  <si>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</si>
  <si>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</si>
  <si>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</si>
  <si>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</si>
  <si>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</si>
  <si>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</si>
  <si>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</si>
  <si>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</si>
  <si>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 xml:space="preserve"> - ebből könyvtári érdekeltségnövelő támogatás</t>
  </si>
  <si>
    <t>Rendkívüli települési támogatás (Tűzoltóság)</t>
  </si>
  <si>
    <t>EU-s projekt neve, azonosítója: Zöld városközpont kialakítása Tiszavasváriban, TOP-2.1.2-15-SB1-2017-00028</t>
  </si>
  <si>
    <t>Mobiltelefon beszerzése</t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</si>
  <si>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</si>
  <si>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</si>
  <si>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</si>
  <si>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</si>
  <si>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</si>
  <si>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</si>
  <si>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Kabay J. u. 21. tetőfelújítás</t>
  </si>
  <si>
    <t>Pályázati önerő: közművelődés: 250 eFt, könyvtári: 0 eFt</t>
  </si>
  <si>
    <t>Zöld városközpont kialakítása műszaki tartalék</t>
  </si>
  <si>
    <t>A minimálbér és a garantált bérminimum emelés hatásának kompenzációja</t>
  </si>
  <si>
    <t>Települési önkormányzatok kulturális feladatainak támogatása</t>
  </si>
  <si>
    <t>056010</t>
  </si>
  <si>
    <t>Komplex környezetvédelmi programok támogatása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</si>
  <si>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</si>
  <si>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Informatikai eszközök beszerzése (számítógép, office programcsomag, nyomtató, kártyaolvasó, telefon)</t>
  </si>
  <si>
    <t>Informatikai eszköz beszerzése érdekeltségnövelő támogatásból</t>
  </si>
  <si>
    <t>Konyhai eszközök beszerzése (mosogatószer adagoló, edények, tányérok, stb.)</t>
  </si>
  <si>
    <t>Egyes kisvárosi települések fejlesztési támogatása - sportpályák építése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</si>
  <si>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</si>
  <si>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</si>
  <si>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</si>
  <si>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Térfigyelő kamerarendszer</t>
  </si>
  <si>
    <t>Önkormányzati feladatellátást szolgáló fejlesztések támogatása - Minimanó Óvoda épületének felújítása</t>
  </si>
  <si>
    <t>Iparterület kialakítása Tiszavasváriban</t>
  </si>
  <si>
    <t>Tiszavasvári, Krúdí Gy. U. 14. felújítás</t>
  </si>
  <si>
    <t>Konyhakerti és kisállattartási szociális földprogram</t>
  </si>
  <si>
    <t>Iparterület kialakítása Tiszavasváriban pályázati tartalék</t>
  </si>
  <si>
    <t>"Jó adatszolgáltató" támogatás</t>
  </si>
  <si>
    <t>107090</t>
  </si>
  <si>
    <t>Romák társadalmi integrációját elősegítő tevékenységek, programok</t>
  </si>
  <si>
    <t>082094</t>
  </si>
  <si>
    <t>Közművelődés - kulturális alapú gazdaságfejlesztés</t>
  </si>
  <si>
    <t>Kis értékű informatikai és egyéb tárgyi eszközök beszerzése</t>
  </si>
  <si>
    <t>Kis értékű informatikai és egyéb tárgyi eszközök beszerzése (gurulós szeméttároló, vízforraló, kávéfőző, szerszámos szekrény, almatura, vasaló, porszívó)</t>
  </si>
  <si>
    <t>Kis értékű informatikai és egyéb tárgyi eszk. besz. többletbevételből</t>
  </si>
  <si>
    <t>TOP pályázat (fő)</t>
  </si>
  <si>
    <t>Éves tervezett létszám előirányzat közalkalmazott (fő)</t>
  </si>
  <si>
    <t>Tárgyi eszközök beszerzése közművelődési érdekeltségnövelő támogatásból</t>
  </si>
  <si>
    <t>Homokozók beszerzése (3 db)</t>
  </si>
  <si>
    <t>Csoportszobai játéktartó szekrény beszerzése</t>
  </si>
  <si>
    <t>Szőnyegek beszerzése a csoportszobákba (4 db)</t>
  </si>
  <si>
    <t>Kis értékű egyéb tárgyi eszk. besz. többletbevételből</t>
  </si>
  <si>
    <t>Főzőüst beszerzése</t>
  </si>
  <si>
    <t>Jelzőrendszeres házi segítségnyújtás</t>
  </si>
  <si>
    <t>10 db jelzőkészülék beszerzése</t>
  </si>
  <si>
    <t>Vasvári P. u. 6. (volt Vöröskereszt) egyéb tárgyi eszköz beszerzés</t>
  </si>
  <si>
    <t>Képviselői tiszteletdíj lemondás</t>
  </si>
  <si>
    <t>104043</t>
  </si>
  <si>
    <t>Család és gyermekjóléti központ</t>
  </si>
  <si>
    <t>Vasvári P. u. 6. (volt Vöröskereszt) felújítás</t>
  </si>
  <si>
    <t>Rendkívüli települési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</si>
</sst>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10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family val="1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i/>
      <sz val="8"/>
      <color rgb="FFFF0000"/>
      <name val="Times New Roman CE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41" fillId="0" borderId="0"/>
    <xf numFmtId="0" fontId="5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5" fillId="0" borderId="0"/>
    <xf numFmtId="0" fontId="4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1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1271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26" fillId="0" borderId="2" xfId="0" applyFont="1" applyBorder="1" applyAlignment="1" applyProtection="1">
      <alignment horizontal="left" vertical="center" indent="1"/>
      <protection locked="0"/>
    </xf>
    <xf numFmtId="3" fontId="26" fillId="0" borderId="18" xfId="0" applyNumberFormat="1" applyFont="1" applyBorder="1" applyAlignment="1" applyProtection="1">
      <alignment horizontal="right" vertical="center" indent="1"/>
      <protection locked="0"/>
    </xf>
    <xf numFmtId="0" fontId="26" fillId="0" borderId="6" xfId="0" applyFont="1" applyBorder="1" applyAlignment="1" applyProtection="1">
      <alignment horizontal="left" vertical="center" indent="1"/>
      <protection locked="0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5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5" fontId="18" fillId="0" borderId="14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5" fontId="18" fillId="0" borderId="14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1" fillId="0" borderId="0" xfId="23" applyFont="1" applyFill="1" applyProtection="1">
      <protection locked="0"/>
    </xf>
    <xf numFmtId="0" fontId="21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1" applyFont="1" applyFill="1" applyBorder="1" applyAlignment="1" applyProtection="1">
      <alignment horizontal="left" vertical="center" wrapText="1" indent="1"/>
    </xf>
    <xf numFmtId="165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6" fillId="0" borderId="8" xfId="0" applyFont="1" applyBorder="1" applyAlignment="1" applyProtection="1">
      <alignment horizontal="right" vertical="center" indent="1"/>
    </xf>
    <xf numFmtId="165" fontId="13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5" fontId="18" fillId="0" borderId="28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1" applyNumberFormat="1" applyFont="1" applyFill="1" applyBorder="1" applyAlignment="1" applyProtection="1">
      <alignment horizontal="right" vertical="center" wrapText="1" indent="1"/>
    </xf>
    <xf numFmtId="165" fontId="6" fillId="0" borderId="0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Fill="1" applyBorder="1" applyAlignment="1" applyProtection="1">
      <alignment horizontal="right" vertical="center" wrapText="1" indent="1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27" xfId="0" applyNumberFormat="1" applyFont="1" applyFill="1" applyBorder="1" applyAlignment="1" applyProtection="1">
      <alignment horizontal="center" vertical="center" wrapText="1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5" fillId="0" borderId="19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8" fillId="0" borderId="27" xfId="0" applyNumberFormat="1" applyFont="1" applyFill="1" applyBorder="1" applyAlignment="1" applyProtection="1">
      <alignment horizontal="left" vertical="center" wrapText="1" indent="1"/>
    </xf>
    <xf numFmtId="165" fontId="26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0" fillId="0" borderId="2" xfId="0" applyNumberFormat="1" applyFont="1" applyFill="1" applyBorder="1" applyAlignment="1" applyProtection="1">
      <alignment horizontal="righ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2"/>
    </xf>
    <xf numFmtId="165" fontId="26" fillId="0" borderId="2" xfId="0" applyNumberFormat="1" applyFont="1" applyFill="1" applyBorder="1" applyAlignment="1" applyProtection="1">
      <alignment horizontal="left" vertical="center" wrapText="1" indent="2"/>
    </xf>
    <xf numFmtId="165" fontId="30" fillId="0" borderId="2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7" fillId="0" borderId="0" xfId="0" applyFont="1" applyFill="1" applyBorder="1" applyAlignment="1" applyProtection="1">
      <alignment horizontal="right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5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1" applyFont="1" applyFill="1" applyProtection="1"/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5" fontId="30" fillId="0" borderId="1" xfId="0" applyNumberFormat="1" applyFont="1" applyFill="1" applyBorder="1" applyAlignment="1" applyProtection="1">
      <alignment horizontal="right" vertical="center" wrapText="1" indent="1"/>
    </xf>
    <xf numFmtId="0" fontId="41" fillId="0" borderId="0" xfId="18"/>
    <xf numFmtId="0" fontId="41" fillId="0" borderId="0" xfId="18" applyFont="1"/>
    <xf numFmtId="0" fontId="26" fillId="0" borderId="3" xfId="0" applyFont="1" applyBorder="1" applyAlignment="1" applyProtection="1">
      <alignment horizontal="left" vertical="center" inden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165" fontId="26" fillId="0" borderId="3" xfId="23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5" fontId="18" fillId="0" borderId="26" xfId="21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1" applyNumberFormat="1" applyFont="1" applyFill="1" applyBorder="1" applyAlignment="1" applyProtection="1">
      <alignment horizontal="center" vertical="center" wrapText="1"/>
    </xf>
    <xf numFmtId="166" fontId="41" fillId="0" borderId="0" xfId="18" applyNumberFormat="1" applyFont="1"/>
    <xf numFmtId="0" fontId="44" fillId="0" borderId="0" xfId="0" applyFont="1" applyFill="1"/>
    <xf numFmtId="165" fontId="5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5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23" applyNumberFormat="1" applyFont="1" applyFill="1" applyBorder="1" applyAlignment="1" applyProtection="1">
      <alignment vertical="center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0" xfId="0" applyFont="1" applyFill="1" applyAlignment="1">
      <alignment vertical="center" wrapText="1"/>
    </xf>
    <xf numFmtId="165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0" applyFont="1" applyFill="1" applyAlignment="1" applyProtection="1">
      <alignment vertical="center" wrapText="1"/>
    </xf>
    <xf numFmtId="165" fontId="5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ill="1"/>
    <xf numFmtId="0" fontId="20" fillId="0" borderId="0" xfId="21" applyFont="1" applyFill="1"/>
    <xf numFmtId="165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5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21" applyNumberFormat="1" applyFont="1" applyFill="1" applyBorder="1" applyAlignment="1" applyProtection="1">
      <alignment horizontal="right" vertical="center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5" fontId="18" fillId="0" borderId="52" xfId="21" applyNumberFormat="1" applyFont="1" applyFill="1" applyBorder="1" applyAlignment="1" applyProtection="1">
      <alignment horizontal="right" vertical="center" wrapText="1" indent="1"/>
    </xf>
    <xf numFmtId="165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Border="1" applyAlignment="1" applyProtection="1">
      <alignment horizontal="right" vertical="center" wrapText="1" indent="1"/>
    </xf>
    <xf numFmtId="165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165" fontId="56" fillId="0" borderId="0" xfId="0" applyNumberFormat="1" applyFont="1" applyFill="1" applyAlignment="1">
      <alignment horizontal="center" vertical="center" wrapText="1"/>
    </xf>
    <xf numFmtId="165" fontId="18" fillId="0" borderId="27" xfId="21" applyNumberFormat="1" applyFont="1" applyFill="1" applyBorder="1" applyAlignment="1" applyProtection="1">
      <alignment horizontal="right" vertical="center" wrapText="1" indent="1"/>
    </xf>
    <xf numFmtId="0" fontId="23" fillId="0" borderId="64" xfId="0" applyFont="1" applyBorder="1" applyAlignment="1" applyProtection="1">
      <alignment horizontal="left" wrapText="1" indent="1"/>
    </xf>
    <xf numFmtId="0" fontId="23" fillId="0" borderId="49" xfId="0" applyFont="1" applyBorder="1" applyAlignment="1" applyProtection="1">
      <alignment horizontal="left" wrapText="1" indent="1"/>
    </xf>
    <xf numFmtId="0" fontId="23" fillId="0" borderId="65" xfId="0" applyFont="1" applyBorder="1" applyAlignment="1" applyProtection="1">
      <alignment horizontal="left" wrapText="1" indent="1"/>
    </xf>
    <xf numFmtId="165" fontId="20" fillId="0" borderId="50" xfId="21" applyNumberFormat="1" applyFont="1" applyFill="1" applyBorder="1" applyAlignment="1" applyProtection="1">
      <alignment horizontal="right" vertical="center" wrapText="1" indent="1"/>
    </xf>
    <xf numFmtId="165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0" fontId="18" fillId="0" borderId="68" xfId="21" applyFont="1" applyFill="1" applyBorder="1" applyAlignment="1" applyProtection="1">
      <alignment horizontal="center" vertical="center" wrapText="1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3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0" fillId="0" borderId="0" xfId="21" applyNumberFormat="1" applyFill="1" applyProtection="1"/>
    <xf numFmtId="0" fontId="3" fillId="0" borderId="0" xfId="20" applyFont="1"/>
    <xf numFmtId="0" fontId="8" fillId="0" borderId="0" xfId="20" applyFont="1" applyAlignment="1">
      <alignment horizontal="center"/>
    </xf>
    <xf numFmtId="0" fontId="43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1" fillId="0" borderId="0" xfId="19"/>
    <xf numFmtId="0" fontId="20" fillId="0" borderId="0" xfId="19" applyFont="1"/>
    <xf numFmtId="0" fontId="18" fillId="0" borderId="0" xfId="19" applyFont="1"/>
    <xf numFmtId="0" fontId="58" fillId="0" borderId="0" xfId="19" applyFont="1"/>
    <xf numFmtId="0" fontId="13" fillId="0" borderId="0" xfId="19" applyFont="1"/>
    <xf numFmtId="0" fontId="26" fillId="0" borderId="0" xfId="19" applyFont="1"/>
    <xf numFmtId="0" fontId="19" fillId="0" borderId="0" xfId="19" applyFont="1" applyAlignment="1">
      <alignment horizontal="right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8" fillId="0" borderId="0" xfId="19" applyFont="1" applyAlignment="1">
      <alignment horizontal="centerContinuous"/>
    </xf>
    <xf numFmtId="0" fontId="6" fillId="0" borderId="51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3" fontId="27" fillId="0" borderId="17" xfId="19" applyNumberFormat="1" applyFont="1" applyBorder="1"/>
    <xf numFmtId="0" fontId="42" fillId="0" borderId="0" xfId="19" applyFont="1"/>
    <xf numFmtId="3" fontId="33" fillId="0" borderId="5" xfId="19" applyNumberFormat="1" applyFont="1" applyBorder="1"/>
    <xf numFmtId="3" fontId="33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3" fillId="0" borderId="8" xfId="19" applyNumberFormat="1" applyFont="1" applyBorder="1"/>
    <xf numFmtId="3" fontId="27" fillId="0" borderId="18" xfId="19" applyNumberFormat="1" applyFont="1" applyBorder="1"/>
    <xf numFmtId="3" fontId="7" fillId="0" borderId="0" xfId="19" applyNumberFormat="1" applyFont="1" applyBorder="1"/>
    <xf numFmtId="3" fontId="33" fillId="0" borderId="2" xfId="19" applyNumberFormat="1" applyFont="1" applyFill="1" applyBorder="1"/>
    <xf numFmtId="3" fontId="7" fillId="0" borderId="49" xfId="19" applyNumberFormat="1" applyFont="1" applyBorder="1"/>
    <xf numFmtId="3" fontId="51" fillId="0" borderId="2" xfId="19" applyNumberFormat="1" applyFont="1" applyBorder="1"/>
    <xf numFmtId="3" fontId="19" fillId="0" borderId="38" xfId="19" applyNumberFormat="1" applyFont="1" applyBorder="1"/>
    <xf numFmtId="3" fontId="51" fillId="0" borderId="8" xfId="19" applyNumberFormat="1" applyFont="1" applyBorder="1"/>
    <xf numFmtId="3" fontId="33" fillId="0" borderId="74" xfId="19" applyNumberFormat="1" applyFont="1" applyBorder="1"/>
    <xf numFmtId="3" fontId="33" fillId="0" borderId="6" xfId="19" applyNumberFormat="1" applyFont="1" applyBorder="1"/>
    <xf numFmtId="3" fontId="27" fillId="0" borderId="23" xfId="19" applyNumberFormat="1" applyFont="1" applyBorder="1"/>
    <xf numFmtId="3" fontId="19" fillId="0" borderId="56" xfId="19" applyNumberFormat="1" applyFont="1" applyBorder="1"/>
    <xf numFmtId="3" fontId="33" fillId="0" borderId="10" xfId="19" applyNumberFormat="1" applyFont="1" applyBorder="1"/>
    <xf numFmtId="3" fontId="33" fillId="0" borderId="74" xfId="19" applyNumberFormat="1" applyFont="1" applyFill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5" xfId="19" applyNumberFormat="1" applyFont="1" applyBorder="1"/>
    <xf numFmtId="3" fontId="7" fillId="0" borderId="22" xfId="19" applyNumberFormat="1" applyFont="1" applyBorder="1"/>
    <xf numFmtId="0" fontId="49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49" fillId="0" borderId="0" xfId="19" applyNumberFormat="1" applyFont="1" applyFill="1" applyBorder="1"/>
    <xf numFmtId="3" fontId="49" fillId="0" borderId="0" xfId="19" applyNumberFormat="1" applyFont="1" applyBorder="1"/>
    <xf numFmtId="3" fontId="50" fillId="0" borderId="0" xfId="19" applyNumberFormat="1" applyFont="1" applyBorder="1"/>
    <xf numFmtId="165" fontId="53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7" fillId="0" borderId="15" xfId="23" applyFont="1" applyFill="1" applyBorder="1" applyAlignment="1" applyProtection="1">
      <alignment horizontal="center" vertical="center" wrapText="1"/>
      <protection locked="0"/>
    </xf>
    <xf numFmtId="0" fontId="27" fillId="0" borderId="16" xfId="23" applyFont="1" applyFill="1" applyBorder="1" applyAlignment="1" applyProtection="1">
      <alignment horizontal="center" vertical="center"/>
      <protection locked="0"/>
    </xf>
    <xf numFmtId="0" fontId="27" fillId="0" borderId="28" xfId="23" applyFont="1" applyFill="1" applyBorder="1" applyAlignment="1" applyProtection="1">
      <alignment horizontal="center" vertical="center"/>
      <protection locked="0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vertical="center" wrapText="1"/>
    </xf>
    <xf numFmtId="3" fontId="26" fillId="0" borderId="0" xfId="21" applyNumberFormat="1" applyFont="1" applyFill="1" applyProtection="1"/>
    <xf numFmtId="0" fontId="26" fillId="0" borderId="0" xfId="21" applyFont="1" applyFill="1" applyProtection="1"/>
    <xf numFmtId="3" fontId="25" fillId="0" borderId="27" xfId="21" applyNumberFormat="1" applyFont="1" applyFill="1" applyBorder="1" applyProtection="1"/>
    <xf numFmtId="3" fontId="26" fillId="0" borderId="20" xfId="21" applyNumberFormat="1" applyFont="1" applyFill="1" applyBorder="1" applyProtection="1"/>
    <xf numFmtId="3" fontId="26" fillId="0" borderId="18" xfId="21" applyNumberFormat="1" applyFont="1" applyFill="1" applyBorder="1" applyProtection="1"/>
    <xf numFmtId="3" fontId="26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6" fillId="0" borderId="2" xfId="0" applyNumberFormat="1" applyFont="1" applyFill="1" applyBorder="1" applyAlignment="1" applyProtection="1">
      <alignment vertical="center" wrapText="1"/>
    </xf>
    <xf numFmtId="3" fontId="46" fillId="0" borderId="0" xfId="0" applyNumberFormat="1" applyFont="1" applyFill="1" applyAlignment="1" applyProtection="1">
      <alignment vertical="center" wrapText="1"/>
    </xf>
    <xf numFmtId="166" fontId="8" fillId="0" borderId="0" xfId="26" applyNumberFormat="1" applyFont="1" applyAlignment="1">
      <alignment horizontal="center"/>
    </xf>
    <xf numFmtId="166" fontId="13" fillId="0" borderId="0" xfId="26" applyNumberFormat="1" applyFont="1"/>
    <xf numFmtId="166" fontId="3" fillId="0" borderId="0" xfId="26" applyNumberFormat="1" applyFont="1"/>
    <xf numFmtId="166" fontId="43" fillId="0" borderId="0" xfId="26" applyNumberFormat="1" applyFont="1" applyAlignment="1">
      <alignment horizontal="centerContinuous"/>
    </xf>
    <xf numFmtId="166" fontId="8" fillId="0" borderId="0" xfId="26" applyNumberFormat="1" applyFont="1" applyAlignment="1">
      <alignment horizontal="right"/>
    </xf>
    <xf numFmtId="166" fontId="6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3" fillId="0" borderId="0" xfId="26" applyNumberFormat="1" applyFont="1" applyBorder="1" applyAlignment="1"/>
    <xf numFmtId="0" fontId="1" fillId="0" borderId="72" xfId="20" applyFont="1" applyBorder="1"/>
    <xf numFmtId="166" fontId="13" fillId="0" borderId="0" xfId="26" applyNumberFormat="1" applyFont="1" applyBorder="1"/>
    <xf numFmtId="0" fontId="1" fillId="0" borderId="47" xfId="20" applyFont="1" applyBorder="1"/>
    <xf numFmtId="3" fontId="26" fillId="0" borderId="0" xfId="23" applyNumberFormat="1" applyFont="1" applyFill="1" applyProtection="1">
      <protection locked="0"/>
    </xf>
    <xf numFmtId="3" fontId="26" fillId="0" borderId="0" xfId="23" applyNumberFormat="1" applyFont="1" applyFill="1" applyAlignment="1" applyProtection="1">
      <alignment vertical="center"/>
    </xf>
    <xf numFmtId="3" fontId="26" fillId="0" borderId="11" xfId="23" applyNumberFormat="1" applyFont="1" applyFill="1" applyBorder="1" applyAlignment="1" applyProtection="1">
      <alignment vertical="center"/>
    </xf>
    <xf numFmtId="3" fontId="26" fillId="0" borderId="17" xfId="23" applyNumberFormat="1" applyFont="1" applyFill="1" applyBorder="1" applyAlignment="1" applyProtection="1">
      <alignment vertical="center"/>
      <protection locked="0"/>
    </xf>
    <xf numFmtId="165" fontId="25" fillId="0" borderId="18" xfId="23" applyNumberFormat="1" applyFont="1" applyFill="1" applyBorder="1" applyAlignment="1" applyProtection="1">
      <alignment vertical="center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3" fontId="26" fillId="0" borderId="18" xfId="23" applyNumberFormat="1" applyFont="1" applyFill="1" applyBorder="1" applyAlignment="1" applyProtection="1">
      <alignment vertical="center"/>
      <protection locked="0"/>
    </xf>
    <xf numFmtId="3" fontId="26" fillId="0" borderId="10" xfId="23" applyNumberFormat="1" applyFont="1" applyFill="1" applyBorder="1" applyAlignment="1" applyProtection="1">
      <alignment vertical="center"/>
      <protection locked="0"/>
    </xf>
    <xf numFmtId="3" fontId="26" fillId="0" borderId="23" xfId="23" applyNumberFormat="1" applyFont="1" applyFill="1" applyBorder="1" applyAlignment="1" applyProtection="1">
      <alignment vertical="center"/>
      <protection locked="0"/>
    </xf>
    <xf numFmtId="3" fontId="26" fillId="0" borderId="27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  <protection locked="0"/>
    </xf>
    <xf numFmtId="3" fontId="26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5" fontId="26" fillId="0" borderId="4" xfId="23" applyNumberFormat="1" applyFont="1" applyFill="1" applyBorder="1" applyAlignment="1" applyProtection="1">
      <alignment vertical="center"/>
      <protection locked="0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6" fillId="0" borderId="20" xfId="21" applyNumberFormat="1" applyFont="1" applyFill="1" applyBorder="1" applyAlignment="1" applyProtection="1">
      <alignment horizontal="center" vertical="center" wrapText="1"/>
    </xf>
    <xf numFmtId="165" fontId="25" fillId="0" borderId="20" xfId="21" applyNumberFormat="1" applyFont="1" applyFill="1" applyBorder="1" applyAlignment="1" applyProtection="1">
      <alignment horizontal="center" vertical="center" wrapText="1"/>
    </xf>
    <xf numFmtId="0" fontId="18" fillId="0" borderId="70" xfId="21" applyFont="1" applyFill="1" applyBorder="1" applyAlignment="1" applyProtection="1">
      <alignment vertical="center" wrapText="1"/>
    </xf>
    <xf numFmtId="0" fontId="25" fillId="0" borderId="68" xfId="21" applyFont="1" applyFill="1" applyBorder="1" applyAlignment="1" applyProtection="1">
      <alignment horizontal="left" vertical="center" wrapText="1" indent="1"/>
    </xf>
    <xf numFmtId="165" fontId="25" fillId="0" borderId="40" xfId="21" applyNumberFormat="1" applyFont="1" applyFill="1" applyBorder="1" applyAlignment="1" applyProtection="1">
      <alignment horizontal="center" vertical="center" wrapText="1"/>
    </xf>
    <xf numFmtId="165" fontId="25" fillId="0" borderId="27" xfId="21" applyNumberFormat="1" applyFont="1" applyFill="1" applyBorder="1" applyAlignment="1" applyProtection="1">
      <alignment horizontal="center" vertical="center" wrapText="1"/>
    </xf>
    <xf numFmtId="0" fontId="22" fillId="0" borderId="70" xfId="0" applyFont="1" applyBorder="1" applyAlignment="1" applyProtection="1">
      <alignment horizontal="left" vertical="center" wrapText="1" indent="1"/>
    </xf>
    <xf numFmtId="165" fontId="2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horizontal="right" vertical="center" wrapText="1" indent="1"/>
    </xf>
    <xf numFmtId="166" fontId="21" fillId="0" borderId="46" xfId="26" applyNumberFormat="1" applyFont="1" applyBorder="1"/>
    <xf numFmtId="0" fontId="1" fillId="0" borderId="36" xfId="20" applyFont="1" applyBorder="1"/>
    <xf numFmtId="166" fontId="21" fillId="0" borderId="29" xfId="26" applyNumberFormat="1" applyFont="1" applyBorder="1"/>
    <xf numFmtId="166" fontId="21" fillId="0" borderId="73" xfId="26" applyNumberFormat="1" applyFont="1" applyBorder="1"/>
    <xf numFmtId="166" fontId="21" fillId="0" borderId="53" xfId="26" applyNumberFormat="1" applyFont="1" applyBorder="1"/>
    <xf numFmtId="166" fontId="21" fillId="0" borderId="34" xfId="26" applyNumberFormat="1" applyFont="1" applyBorder="1"/>
    <xf numFmtId="166" fontId="21" fillId="0" borderId="35" xfId="26" applyNumberFormat="1" applyFont="1" applyBorder="1"/>
    <xf numFmtId="166" fontId="21" fillId="0" borderId="44" xfId="26" applyNumberFormat="1" applyFont="1" applyBorder="1"/>
    <xf numFmtId="166" fontId="10" fillId="0" borderId="71" xfId="26" quotePrefix="1" applyNumberFormat="1" applyFont="1" applyBorder="1"/>
    <xf numFmtId="166" fontId="10" fillId="0" borderId="57" xfId="26" quotePrefix="1" applyNumberFormat="1" applyFont="1" applyBorder="1"/>
    <xf numFmtId="166" fontId="10" fillId="0" borderId="57" xfId="26" applyNumberFormat="1" applyFont="1" applyBorder="1"/>
    <xf numFmtId="166" fontId="21" fillId="0" borderId="43" xfId="26" applyNumberFormat="1" applyFont="1" applyBorder="1"/>
    <xf numFmtId="166" fontId="21" fillId="0" borderId="0" xfId="26" applyNumberFormat="1" applyFont="1" applyBorder="1"/>
    <xf numFmtId="166" fontId="21" fillId="0" borderId="48" xfId="26" applyNumberFormat="1" applyFont="1" applyBorder="1"/>
    <xf numFmtId="0" fontId="18" fillId="0" borderId="68" xfId="21" applyFont="1" applyFill="1" applyBorder="1" applyAlignment="1" applyProtection="1">
      <alignment horizontal="left" vertical="center" wrapText="1" indent="1"/>
    </xf>
    <xf numFmtId="0" fontId="23" fillId="0" borderId="49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vertical="center" wrapText="1" indent="1"/>
    </xf>
    <xf numFmtId="0" fontId="24" fillId="0" borderId="68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vertical="center" wrapText="1"/>
    </xf>
    <xf numFmtId="0" fontId="24" fillId="0" borderId="68" xfId="0" applyFont="1" applyBorder="1" applyAlignment="1" applyProtection="1">
      <alignment wrapText="1"/>
    </xf>
    <xf numFmtId="0" fontId="24" fillId="0" borderId="70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9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2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8" xfId="21" applyFont="1" applyFill="1" applyBorder="1" applyAlignment="1" applyProtection="1">
      <alignment horizontal="center" vertical="center" wrapText="1"/>
    </xf>
    <xf numFmtId="0" fontId="20" fillId="0" borderId="49" xfId="21" applyFont="1" applyFill="1" applyBorder="1" applyAlignment="1" applyProtection="1">
      <alignment horizontal="left" indent="6"/>
    </xf>
    <xf numFmtId="165" fontId="26" fillId="0" borderId="17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17" xfId="21" applyNumberFormat="1" applyFont="1" applyFill="1" applyBorder="1" applyAlignment="1" applyProtection="1">
      <alignment horizontal="right" vertical="center" wrapText="1" indent="1"/>
    </xf>
    <xf numFmtId="165" fontId="18" fillId="0" borderId="18" xfId="21" applyNumberFormat="1" applyFont="1" applyFill="1" applyBorder="1" applyAlignment="1" applyProtection="1">
      <alignment horizontal="right" vertical="center" wrapText="1" indent="1"/>
    </xf>
    <xf numFmtId="165" fontId="18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20" xfId="21" applyNumberFormat="1" applyFont="1" applyFill="1" applyBorder="1" applyAlignment="1" applyProtection="1">
      <alignment horizontal="right" vertical="center" wrapText="1" indent="1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6" xfId="19" applyNumberFormat="1" applyFont="1" applyBorder="1"/>
    <xf numFmtId="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73" fillId="0" borderId="0" xfId="19" applyFont="1"/>
    <xf numFmtId="0" fontId="41" fillId="0" borderId="0" xfId="19" applyFont="1"/>
    <xf numFmtId="3" fontId="41" fillId="0" borderId="0" xfId="19" applyNumberFormat="1" applyFont="1"/>
    <xf numFmtId="0" fontId="41" fillId="0" borderId="0" xfId="20" applyFont="1"/>
    <xf numFmtId="0" fontId="41" fillId="0" borderId="0" xfId="20" applyFont="1" applyAlignment="1">
      <alignment vertical="center"/>
    </xf>
    <xf numFmtId="0" fontId="41" fillId="0" borderId="0" xfId="20" applyFont="1" applyFill="1" applyBorder="1"/>
    <xf numFmtId="0" fontId="41" fillId="0" borderId="0" xfId="20" applyFont="1" applyBorder="1"/>
    <xf numFmtId="0" fontId="29" fillId="0" borderId="0" xfId="0" applyFont="1" applyFill="1" applyAlignment="1">
      <alignment horizontal="right"/>
    </xf>
    <xf numFmtId="165" fontId="25" fillId="0" borderId="19" xfId="23" applyNumberFormat="1" applyFont="1" applyFill="1" applyBorder="1" applyAlignment="1" applyProtection="1">
      <alignment vertical="center"/>
    </xf>
    <xf numFmtId="165" fontId="25" fillId="0" borderId="19" xfId="23" applyNumberFormat="1" applyFont="1" applyFill="1" applyBorder="1" applyProtection="1"/>
    <xf numFmtId="0" fontId="10" fillId="0" borderId="0" xfId="23" applyFont="1" applyFill="1" applyProtection="1"/>
    <xf numFmtId="0" fontId="10" fillId="0" borderId="0" xfId="23" applyFont="1" applyFill="1" applyProtection="1">
      <protection locked="0"/>
    </xf>
    <xf numFmtId="0" fontId="21" fillId="0" borderId="0" xfId="0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3" fontId="26" fillId="0" borderId="11" xfId="23" applyNumberFormat="1" applyFont="1" applyFill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60" fillId="0" borderId="0" xfId="0" applyFont="1"/>
    <xf numFmtId="165" fontId="26" fillId="0" borderId="40" xfId="21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7" fillId="0" borderId="15" xfId="0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vertical="center"/>
    </xf>
    <xf numFmtId="3" fontId="26" fillId="0" borderId="4" xfId="0" applyNumberFormat="1" applyFont="1" applyFill="1" applyBorder="1" applyAlignment="1" applyProtection="1">
      <alignment vertical="center"/>
      <protection locked="0"/>
    </xf>
    <xf numFmtId="3" fontId="26" fillId="0" borderId="17" xfId="0" applyNumberFormat="1" applyFont="1" applyFill="1" applyBorder="1" applyAlignment="1" applyProtection="1">
      <alignment vertical="center"/>
    </xf>
    <xf numFmtId="49" fontId="30" fillId="0" borderId="8" xfId="0" quotePrefix="1" applyNumberFormat="1" applyFont="1" applyFill="1" applyBorder="1" applyAlignment="1" applyProtection="1">
      <alignment horizontal="left" vertical="center" indent="1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3" fontId="30" fillId="0" borderId="18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vertical="center"/>
    </xf>
    <xf numFmtId="3" fontId="26" fillId="0" borderId="2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49" fontId="26" fillId="0" borderId="10" xfId="0" applyNumberFormat="1" applyFont="1" applyFill="1" applyBorder="1" applyAlignment="1" applyProtection="1">
      <alignment vertical="center"/>
      <protection locked="0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49" fontId="27" fillId="0" borderId="13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horizontal="left" vertical="center"/>
    </xf>
    <xf numFmtId="49" fontId="26" fillId="0" borderId="8" xfId="0" applyNumberFormat="1" applyFont="1" applyFill="1" applyBorder="1" applyAlignment="1" applyProtection="1">
      <alignment vertical="center"/>
      <protection locked="0"/>
    </xf>
    <xf numFmtId="3" fontId="52" fillId="0" borderId="2" xfId="0" applyNumberFormat="1" applyFont="1" applyFill="1" applyBorder="1" applyAlignment="1" applyProtection="1">
      <alignment vertical="center"/>
      <protection locked="0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19" xfId="0" applyNumberFormat="1" applyFont="1" applyFill="1" applyBorder="1" applyAlignment="1" applyProtection="1">
      <alignment vertical="center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6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79" fillId="0" borderId="38" xfId="19" applyNumberFormat="1" applyFont="1" applyBorder="1"/>
    <xf numFmtId="165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ont="1" applyFill="1" applyAlignment="1" applyProtection="1"/>
    <xf numFmtId="165" fontId="2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27" fillId="0" borderId="13" xfId="0" applyNumberFormat="1" applyFont="1" applyFill="1" applyBorder="1" applyAlignment="1" applyProtection="1">
      <alignment horizontal="centerContinuous" vertical="center" wrapText="1"/>
    </xf>
    <xf numFmtId="165" fontId="27" fillId="0" borderId="14" xfId="0" applyNumberFormat="1" applyFont="1" applyFill="1" applyBorder="1" applyAlignment="1" applyProtection="1">
      <alignment horizontal="centerContinuous" vertical="center" wrapText="1"/>
    </xf>
    <xf numFmtId="165" fontId="27" fillId="0" borderId="19" xfId="0" applyNumberFormat="1" applyFont="1" applyFill="1" applyBorder="1" applyAlignment="1" applyProtection="1">
      <alignment horizontal="centerContinuous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0" fontId="27" fillId="0" borderId="19" xfId="2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6" fillId="0" borderId="43" xfId="0" applyNumberFormat="1" applyFont="1" applyFill="1" applyBorder="1" applyAlignment="1" applyProtection="1">
      <alignment horizontal="left" vertical="center" wrapText="1" indent="1"/>
    </xf>
    <xf numFmtId="165" fontId="2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right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165" fontId="25" fillId="0" borderId="40" xfId="0" applyNumberFormat="1" applyFont="1" applyFill="1" applyBorder="1" applyAlignment="1" applyProtection="1">
      <alignment horizontal="center" vertical="center" wrapText="1"/>
    </xf>
    <xf numFmtId="165" fontId="27" fillId="0" borderId="18" xfId="0" applyNumberFormat="1" applyFont="1" applyFill="1" applyBorder="1" applyAlignment="1" applyProtection="1">
      <alignment vertical="center" wrapText="1"/>
    </xf>
    <xf numFmtId="165" fontId="27" fillId="0" borderId="13" xfId="0" applyNumberFormat="1" applyFont="1" applyFill="1" applyBorder="1" applyAlignment="1" applyProtection="1">
      <alignment horizontal="left" vertical="center" wrapText="1"/>
    </xf>
    <xf numFmtId="165" fontId="27" fillId="0" borderId="14" xfId="0" applyNumberFormat="1" applyFont="1" applyFill="1" applyBorder="1" applyAlignment="1" applyProtection="1">
      <alignment vertical="center" wrapText="1"/>
    </xf>
    <xf numFmtId="165" fontId="27" fillId="7" borderId="14" xfId="0" applyNumberFormat="1" applyFont="1" applyFill="1" applyBorder="1" applyAlignment="1" applyProtection="1">
      <alignment vertical="center" wrapText="1"/>
    </xf>
    <xf numFmtId="165" fontId="27" fillId="0" borderId="19" xfId="0" applyNumberFormat="1" applyFont="1" applyFill="1" applyBorder="1" applyAlignment="1" applyProtection="1">
      <alignment vertical="center" wrapText="1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4" xfId="21" applyNumberFormat="1" applyFont="1" applyFill="1" applyBorder="1" applyAlignment="1" applyProtection="1">
      <alignment horizontal="right" vertical="center" indent="1"/>
    </xf>
    <xf numFmtId="3" fontId="32" fillId="0" borderId="0" xfId="21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1" applyNumberFormat="1" applyFont="1" applyFill="1" applyBorder="1" applyAlignment="1" applyProtection="1">
      <alignment horizontal="right" vertical="center" wrapText="1" indent="1"/>
    </xf>
    <xf numFmtId="3" fontId="7" fillId="0" borderId="68" xfId="21" applyNumberFormat="1" applyFont="1" applyFill="1" applyBorder="1" applyAlignment="1" applyProtection="1">
      <alignment horizontal="right" vertical="center" wrapText="1" indent="1"/>
    </xf>
    <xf numFmtId="3" fontId="7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68" xfId="21" applyNumberFormat="1" applyFont="1" applyFill="1" applyBorder="1" applyAlignment="1" applyProtection="1">
      <alignment horizontal="right" vertical="center" wrapText="1" indent="1"/>
    </xf>
    <xf numFmtId="3" fontId="18" fillId="0" borderId="62" xfId="21" applyNumberFormat="1" applyFont="1" applyFill="1" applyBorder="1" applyAlignment="1" applyProtection="1">
      <alignment horizontal="right" vertical="center" wrapText="1" indent="1"/>
    </xf>
    <xf numFmtId="3" fontId="18" fillId="0" borderId="28" xfId="21" applyNumberFormat="1" applyFont="1" applyFill="1" applyBorder="1" applyAlignment="1" applyProtection="1">
      <alignment horizontal="right" vertical="center" wrapText="1" indent="1"/>
    </xf>
    <xf numFmtId="3" fontId="18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</xf>
    <xf numFmtId="3" fontId="23" fillId="0" borderId="58" xfId="27" applyNumberFormat="1" applyFont="1" applyBorder="1" applyAlignment="1" applyProtection="1">
      <alignment horizontal="right" wrapText="1" indent="1"/>
    </xf>
    <xf numFmtId="3" fontId="26" fillId="0" borderId="17" xfId="21" applyNumberFormat="1" applyFont="1" applyFill="1" applyBorder="1" applyAlignment="1" applyProtection="1">
      <alignment horizontal="right" vertical="center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41" xfId="27" applyNumberFormat="1" applyFont="1" applyBorder="1" applyAlignment="1" applyProtection="1">
      <alignment horizontal="right" wrapText="1" indent="1"/>
    </xf>
    <xf numFmtId="3" fontId="26" fillId="0" borderId="18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38" xfId="27" applyNumberFormat="1" applyFont="1" applyBorder="1" applyAlignment="1" applyProtection="1">
      <alignment horizontal="right" wrapText="1" indent="1"/>
    </xf>
    <xf numFmtId="3" fontId="26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7" xfId="27" applyNumberFormat="1" applyFont="1" applyBorder="1" applyAlignment="1" applyProtection="1">
      <alignment horizontal="right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8" xfId="21" applyNumberFormat="1" applyFont="1" applyFill="1" applyBorder="1" applyAlignment="1" applyProtection="1">
      <alignment horizontal="right" vertical="center" wrapText="1" indent="1"/>
    </xf>
    <xf numFmtId="3" fontId="25" fillId="0" borderId="44" xfId="21" applyNumberFormat="1" applyFont="1" applyFill="1" applyBorder="1" applyAlignment="1" applyProtection="1">
      <alignment horizontal="right" vertical="center" wrapText="1" indent="1"/>
    </xf>
    <xf numFmtId="3" fontId="25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18" fillId="0" borderId="17" xfId="21" applyNumberFormat="1" applyFont="1" applyFill="1" applyBorder="1" applyAlignment="1" applyProtection="1">
      <alignment horizontal="right" vertical="center" wrapText="1" indent="1"/>
    </xf>
    <xf numFmtId="3" fontId="18" fillId="0" borderId="22" xfId="21" applyNumberFormat="1" applyFont="1" applyFill="1" applyBorder="1" applyAlignment="1" applyProtection="1">
      <alignment horizontal="right" vertical="center" wrapText="1" indent="1"/>
    </xf>
    <xf numFmtId="3" fontId="18" fillId="0" borderId="27" xfId="21" applyNumberFormat="1" applyFont="1" applyFill="1" applyBorder="1" applyAlignment="1" applyProtection="1">
      <alignment horizontal="right" vertical="center" wrapText="1" indent="1"/>
    </xf>
    <xf numFmtId="3" fontId="18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5" fillId="0" borderId="27" xfId="21" applyNumberFormat="1" applyFont="1" applyFill="1" applyBorder="1" applyAlignment="1" applyProtection="1">
      <alignment horizontal="right" vertical="center" wrapText="1" indent="1"/>
    </xf>
    <xf numFmtId="3" fontId="23" fillId="0" borderId="27" xfId="27" applyNumberFormat="1" applyFont="1" applyBorder="1" applyAlignment="1" applyProtection="1">
      <alignment horizontal="right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1" applyNumberFormat="1" applyFont="1" applyFill="1" applyBorder="1" applyAlignment="1" applyProtection="1">
      <alignment horizontal="right" vertical="center" wrapText="1" indent="1"/>
    </xf>
    <xf numFmtId="3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4" xfId="21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8" fillId="0" borderId="33" xfId="21" applyNumberFormat="1" applyFont="1" applyFill="1" applyBorder="1" applyAlignment="1" applyProtection="1">
      <alignment horizontal="right" vertical="center" wrapText="1" indent="1"/>
    </xf>
    <xf numFmtId="3" fontId="18" fillId="0" borderId="52" xfId="21" applyNumberFormat="1" applyFont="1" applyFill="1" applyBorder="1" applyAlignment="1" applyProtection="1">
      <alignment horizontal="right" vertical="center" wrapText="1" indent="1"/>
    </xf>
    <xf numFmtId="3" fontId="20" fillId="0" borderId="58" xfId="27" applyNumberFormat="1" applyFont="1" applyFill="1" applyBorder="1" applyAlignment="1" applyProtection="1">
      <alignment horizontal="right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</xf>
    <xf numFmtId="3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2" xfId="27" applyNumberFormat="1" applyFont="1" applyFill="1" applyBorder="1" applyAlignment="1" applyProtection="1">
      <alignment horizontal="right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56" xfId="27" applyNumberFormat="1" applyFont="1" applyFill="1" applyBorder="1" applyAlignment="1" applyProtection="1">
      <alignment horizontal="right" wrapText="1" indent="1"/>
    </xf>
    <xf numFmtId="3" fontId="20" fillId="0" borderId="56" xfId="27" applyNumberFormat="1" applyFont="1" applyFill="1" applyBorder="1" applyAlignment="1" applyProtection="1">
      <alignment horizontal="right" indent="1"/>
    </xf>
    <xf numFmtId="3" fontId="20" fillId="0" borderId="56" xfId="27" applyNumberFormat="1" applyFont="1" applyFill="1" applyBorder="1" applyAlignment="1" applyProtection="1">
      <alignment horizontal="right" vertical="center" wrapText="1" indent="1"/>
    </xf>
    <xf numFmtId="3" fontId="26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75" xfId="27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</xf>
    <xf numFmtId="3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6" xfId="21" applyNumberFormat="1" applyFont="1" applyFill="1" applyBorder="1" applyAlignment="1" applyProtection="1">
      <alignment horizontal="right" vertical="center" wrapText="1" indent="1"/>
    </xf>
    <xf numFmtId="3" fontId="20" fillId="0" borderId="41" xfId="27" applyNumberFormat="1" applyFont="1" applyFill="1" applyBorder="1" applyAlignment="1" applyProtection="1">
      <alignment horizontal="right" vertical="center" wrapText="1" indent="1"/>
    </xf>
    <xf numFmtId="3" fontId="20" fillId="0" borderId="38" xfId="27" applyNumberFormat="1" applyFont="1" applyFill="1" applyBorder="1" applyAlignment="1" applyProtection="1">
      <alignment horizontal="right" vertical="center" wrapText="1" indent="1"/>
    </xf>
    <xf numFmtId="3" fontId="20" fillId="0" borderId="56" xfId="21" applyNumberFormat="1" applyFont="1" applyFill="1" applyBorder="1" applyAlignment="1" applyProtection="1">
      <alignment horizontal="right" vertical="center" wrapText="1" indent="1"/>
    </xf>
    <xf numFmtId="3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56" xfId="0" applyNumberFormat="1" applyFont="1" applyBorder="1" applyAlignment="1" applyProtection="1">
      <alignment horizontal="right" vertical="center" wrapText="1" indent="1"/>
    </xf>
    <xf numFmtId="3" fontId="23" fillId="0" borderId="42" xfId="0" applyNumberFormat="1" applyFont="1" applyBorder="1" applyAlignment="1" applyProtection="1">
      <alignment horizontal="right" vertical="center" wrapText="1" indent="1"/>
    </xf>
    <xf numFmtId="3" fontId="20" fillId="0" borderId="41" xfId="21" applyNumberFormat="1" applyFont="1" applyFill="1" applyBorder="1" applyAlignment="1" applyProtection="1">
      <alignment horizontal="right" vertical="center" wrapText="1" indent="1"/>
    </xf>
    <xf numFmtId="3" fontId="20" fillId="0" borderId="4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38" xfId="21" applyNumberFormat="1" applyFont="1" applyFill="1" applyBorder="1" applyAlignment="1" applyProtection="1">
      <alignment horizontal="right" vertical="center" wrapText="1" indent="1"/>
    </xf>
    <xf numFmtId="3" fontId="24" fillId="0" borderId="44" xfId="0" applyNumberFormat="1" applyFont="1" applyBorder="1" applyAlignment="1" applyProtection="1">
      <alignment horizontal="right" vertical="center" wrapText="1" indent="1"/>
    </xf>
    <xf numFmtId="3" fontId="24" fillId="0" borderId="19" xfId="0" applyNumberFormat="1" applyFont="1" applyBorder="1" applyAlignment="1" applyProtection="1">
      <alignment horizontal="right" vertical="center" wrapText="1" indent="1"/>
    </xf>
    <xf numFmtId="3" fontId="24" fillId="0" borderId="19" xfId="0" applyNumberFormat="1" applyFont="1" applyBorder="1" applyAlignment="1" applyProtection="1">
      <alignment horizontal="right" vertical="center" wrapText="1" indent="1"/>
      <protection locked="0"/>
    </xf>
    <xf numFmtId="3" fontId="22" fillId="0" borderId="44" xfId="0" quotePrefix="1" applyNumberFormat="1" applyFont="1" applyBorder="1" applyAlignment="1" applyProtection="1">
      <alignment horizontal="right" vertical="center" wrapText="1" indent="1"/>
    </xf>
    <xf numFmtId="3" fontId="22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1" applyNumberFormat="1" applyFont="1" applyFill="1" applyAlignment="1">
      <alignment horizontal="right" indent="1"/>
    </xf>
    <xf numFmtId="0" fontId="23" fillId="0" borderId="49" xfId="0" quotePrefix="1" applyFont="1" applyBorder="1" applyAlignment="1" applyProtection="1">
      <alignment horizontal="left" wrapText="1" indent="1"/>
    </xf>
    <xf numFmtId="165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" fillId="9" borderId="4" xfId="28" applyNumberFormat="1" applyFont="1" applyFill="1" applyBorder="1" applyAlignment="1" applyProtection="1">
      <alignment vertical="center" wrapText="1"/>
      <protection locked="0"/>
    </xf>
    <xf numFmtId="165" fontId="1" fillId="0" borderId="2" xfId="28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28" fillId="0" borderId="18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21" applyNumberFormat="1" applyFont="1" applyFill="1" applyProtection="1"/>
    <xf numFmtId="165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6" fillId="0" borderId="8" xfId="0" applyNumberFormat="1" applyFont="1" applyFill="1" applyBorder="1" applyAlignment="1" applyProtection="1">
      <alignment horizontal="left" vertical="center" wrapText="1" indent="3"/>
    </xf>
    <xf numFmtId="165" fontId="33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33" fillId="0" borderId="2" xfId="28" applyNumberFormat="1" applyFont="1" applyFill="1" applyBorder="1" applyAlignment="1" applyProtection="1">
      <alignment vertical="center" wrapText="1"/>
      <protection locked="0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6" fontId="47" fillId="0" borderId="45" xfId="18" applyNumberFormat="1" applyFont="1" applyBorder="1" applyAlignment="1">
      <alignment horizontal="center"/>
    </xf>
    <xf numFmtId="166" fontId="41" fillId="0" borderId="0" xfId="18" applyNumberFormat="1"/>
    <xf numFmtId="0" fontId="0" fillId="0" borderId="0" xfId="0" applyFont="1"/>
    <xf numFmtId="0" fontId="10" fillId="0" borderId="0" xfId="0" applyFont="1" applyAlignment="1">
      <alignment horizontal="center" wrapText="1"/>
    </xf>
    <xf numFmtId="0" fontId="26" fillId="0" borderId="9" xfId="0" applyFont="1" applyBorder="1" applyAlignment="1" applyProtection="1">
      <alignment horizontal="right" vertical="center" indent="1"/>
    </xf>
    <xf numFmtId="0" fontId="26" fillId="0" borderId="3" xfId="0" applyFont="1" applyBorder="1" applyAlignment="1" applyProtection="1">
      <alignment horizontal="left" vertical="center"/>
      <protection locked="0"/>
    </xf>
    <xf numFmtId="3" fontId="26" fillId="0" borderId="20" xfId="0" applyNumberFormat="1" applyFont="1" applyBorder="1" applyAlignment="1" applyProtection="1">
      <alignment horizontal="right" vertical="center" indent="1"/>
      <protection locked="0"/>
    </xf>
    <xf numFmtId="0" fontId="28" fillId="0" borderId="13" xfId="0" applyFont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3" fillId="0" borderId="78" xfId="19" applyNumberFormat="1" applyFont="1" applyBorder="1"/>
    <xf numFmtId="3" fontId="33" fillId="0" borderId="3" xfId="19" applyNumberFormat="1" applyFont="1" applyBorder="1"/>
    <xf numFmtId="3" fontId="33" fillId="0" borderId="9" xfId="19" applyNumberFormat="1" applyFont="1" applyBorder="1"/>
    <xf numFmtId="3" fontId="27" fillId="0" borderId="20" xfId="19" applyNumberFormat="1" applyFont="1" applyBorder="1"/>
    <xf numFmtId="3" fontId="33" fillId="0" borderId="4" xfId="19" applyNumberFormat="1" applyFont="1" applyBorder="1"/>
    <xf numFmtId="3" fontId="67" fillId="0" borderId="21" xfId="19" applyNumberFormat="1" applyFont="1" applyBorder="1"/>
    <xf numFmtId="3" fontId="33" fillId="0" borderId="21" xfId="19" applyNumberFormat="1" applyFont="1" applyBorder="1"/>
    <xf numFmtId="3" fontId="33" fillId="0" borderId="55" xfId="19" applyNumberFormat="1" applyFont="1" applyBorder="1"/>
    <xf numFmtId="3" fontId="33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9" fillId="0" borderId="61" xfId="19" applyNumberFormat="1" applyFont="1" applyBorder="1"/>
    <xf numFmtId="3" fontId="51" fillId="0" borderId="21" xfId="19" applyNumberFormat="1" applyFont="1" applyBorder="1"/>
    <xf numFmtId="3" fontId="67" fillId="0" borderId="54" xfId="19" applyNumberFormat="1" applyFont="1" applyBorder="1"/>
    <xf numFmtId="3" fontId="19" fillId="0" borderId="59" xfId="19" applyNumberFormat="1" applyFont="1" applyBorder="1"/>
    <xf numFmtId="3" fontId="76" fillId="0" borderId="12" xfId="19" applyNumberFormat="1" applyFont="1" applyBorder="1"/>
    <xf numFmtId="0" fontId="7" fillId="0" borderId="24" xfId="19" applyFont="1" applyBorder="1" applyAlignment="1">
      <alignment horizontal="center"/>
    </xf>
    <xf numFmtId="3" fontId="33" fillId="0" borderId="1" xfId="19" applyNumberFormat="1" applyFont="1" applyBorder="1"/>
    <xf numFmtId="3" fontId="27" fillId="0" borderId="40" xfId="19" applyNumberFormat="1" applyFont="1" applyBorder="1"/>
    <xf numFmtId="3" fontId="33" fillId="0" borderId="67" xfId="19" applyNumberFormat="1" applyFont="1" applyBorder="1"/>
    <xf numFmtId="3" fontId="33" fillId="0" borderId="7" xfId="19" applyNumberFormat="1" applyFont="1" applyBorder="1"/>
    <xf numFmtId="3" fontId="33" fillId="0" borderId="67" xfId="19" applyNumberFormat="1" applyFont="1" applyFill="1" applyBorder="1"/>
    <xf numFmtId="3" fontId="33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7" fillId="0" borderId="38" xfId="19" applyNumberFormat="1" applyFont="1" applyBorder="1"/>
    <xf numFmtId="3" fontId="33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5" fillId="0" borderId="0" xfId="19" applyFont="1"/>
    <xf numFmtId="0" fontId="25" fillId="0" borderId="0" xfId="19" applyFont="1" applyAlignment="1">
      <alignment horizontal="centerContinuous"/>
    </xf>
    <xf numFmtId="0" fontId="27" fillId="0" borderId="23" xfId="19" applyFont="1" applyBorder="1" applyAlignment="1">
      <alignment horizontal="center"/>
    </xf>
    <xf numFmtId="0" fontId="27" fillId="0" borderId="26" xfId="19" applyFont="1" applyBorder="1" applyAlignment="1">
      <alignment horizontal="center"/>
    </xf>
    <xf numFmtId="3" fontId="27" fillId="0" borderId="22" xfId="19" applyNumberFormat="1" applyFont="1" applyBorder="1"/>
    <xf numFmtId="3" fontId="27" fillId="0" borderId="58" xfId="19" applyNumberFormat="1" applyFont="1" applyBorder="1"/>
    <xf numFmtId="3" fontId="27" fillId="0" borderId="21" xfId="19" applyNumberFormat="1" applyFont="1" applyBorder="1"/>
    <xf numFmtId="3" fontId="27" fillId="0" borderId="6" xfId="19" applyNumberFormat="1" applyFont="1" applyBorder="1"/>
    <xf numFmtId="3" fontId="33" fillId="0" borderId="47" xfId="19" applyNumberFormat="1" applyFont="1" applyBorder="1"/>
    <xf numFmtId="3" fontId="27" fillId="0" borderId="0" xfId="19" applyNumberFormat="1" applyFont="1" applyBorder="1"/>
    <xf numFmtId="165" fontId="59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60" fillId="0" borderId="44" xfId="26" applyNumberFormat="1" applyFont="1" applyBorder="1"/>
    <xf numFmtId="0" fontId="60" fillId="0" borderId="31" xfId="20" quotePrefix="1" applyFont="1" applyBorder="1" applyAlignment="1">
      <alignment horizontal="left"/>
    </xf>
    <xf numFmtId="0" fontId="60" fillId="0" borderId="32" xfId="20" applyFont="1" applyBorder="1"/>
    <xf numFmtId="0" fontId="26" fillId="0" borderId="47" xfId="0" applyFont="1" applyBorder="1" applyAlignment="1" applyProtection="1">
      <alignment horizontal="right" vertical="center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165" fontId="6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0" xfId="0" applyNumberFormat="1" applyFont="1" applyFill="1" applyBorder="1" applyAlignment="1" applyProtection="1">
      <alignment horizontal="right" vertical="center" wrapText="1" indent="1"/>
    </xf>
    <xf numFmtId="0" fontId="61" fillId="0" borderId="0" xfId="0" applyFont="1" applyFill="1" applyAlignment="1" applyProtection="1">
      <alignment horizontal="right" vertical="center" wrapText="1" indent="1"/>
    </xf>
    <xf numFmtId="0" fontId="1" fillId="0" borderId="30" xfId="20" applyFont="1" applyBorder="1" applyAlignment="1">
      <alignment horizontal="left"/>
    </xf>
    <xf numFmtId="0" fontId="0" fillId="0" borderId="76" xfId="0" quotePrefix="1" applyBorder="1"/>
    <xf numFmtId="3" fontId="27" fillId="0" borderId="26" xfId="19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7" fillId="0" borderId="8" xfId="19" applyNumberFormat="1" applyFont="1" applyBorder="1"/>
    <xf numFmtId="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21" applyFont="1" applyFill="1"/>
    <xf numFmtId="165" fontId="0" fillId="0" borderId="0" xfId="0" applyNumberFormat="1" applyFill="1" applyAlignment="1" applyProtection="1">
      <alignment vertical="center" wrapText="1"/>
    </xf>
    <xf numFmtId="165" fontId="60" fillId="0" borderId="0" xfId="0" applyNumberFormat="1" applyFont="1" applyFill="1" applyAlignment="1">
      <alignment vertical="center" wrapText="1"/>
    </xf>
    <xf numFmtId="165" fontId="63" fillId="0" borderId="0" xfId="0" applyNumberFormat="1" applyFont="1" applyFill="1" applyAlignment="1" applyProtection="1">
      <alignment horizontal="center" vertical="center" wrapText="1"/>
    </xf>
    <xf numFmtId="165" fontId="63" fillId="0" borderId="0" xfId="0" applyNumberFormat="1" applyFont="1" applyFill="1" applyAlignment="1" applyProtection="1">
      <alignment vertical="center" wrapText="1"/>
    </xf>
    <xf numFmtId="165" fontId="71" fillId="0" borderId="0" xfId="0" applyNumberFormat="1" applyFont="1" applyFill="1" applyAlignment="1" applyProtection="1">
      <alignment horizontal="right" wrapText="1"/>
    </xf>
    <xf numFmtId="165" fontId="70" fillId="0" borderId="13" xfId="0" applyNumberFormat="1" applyFont="1" applyFill="1" applyBorder="1" applyAlignment="1" applyProtection="1">
      <alignment horizontal="center" vertical="center" wrapText="1"/>
    </xf>
    <xf numFmtId="165" fontId="70" fillId="0" borderId="14" xfId="0" applyNumberFormat="1" applyFont="1" applyFill="1" applyBorder="1" applyAlignment="1" applyProtection="1">
      <alignment horizontal="center" vertical="center" wrapText="1"/>
    </xf>
    <xf numFmtId="165" fontId="70" fillId="0" borderId="19" xfId="0" applyNumberFormat="1" applyFont="1" applyFill="1" applyBorder="1" applyAlignment="1" applyProtection="1">
      <alignment horizontal="center" vertical="center" wrapText="1"/>
    </xf>
    <xf numFmtId="165" fontId="53" fillId="0" borderId="0" xfId="0" applyNumberFormat="1" applyFont="1" applyFill="1" applyAlignment="1">
      <alignment horizontal="center" vertical="center" wrapText="1"/>
    </xf>
    <xf numFmtId="165" fontId="66" fillId="0" borderId="13" xfId="0" applyNumberFormat="1" applyFont="1" applyFill="1" applyBorder="1" applyAlignment="1" applyProtection="1">
      <alignment horizontal="center" vertical="center" wrapText="1"/>
    </xf>
    <xf numFmtId="165" fontId="66" fillId="0" borderId="14" xfId="0" applyNumberFormat="1" applyFont="1" applyFill="1" applyBorder="1" applyAlignment="1" applyProtection="1">
      <alignment horizontal="center" vertical="center" wrapText="1"/>
    </xf>
    <xf numFmtId="165" fontId="66" fillId="0" borderId="19" xfId="0" applyNumberFormat="1" applyFont="1" applyFill="1" applyBorder="1" applyAlignment="1" applyProtection="1">
      <alignment horizontal="center" vertical="center" wrapText="1"/>
    </xf>
    <xf numFmtId="165" fontId="63" fillId="0" borderId="0" xfId="0" applyNumberFormat="1" applyFont="1" applyFill="1" applyAlignment="1">
      <alignment vertical="center" wrapText="1"/>
    </xf>
    <xf numFmtId="49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18" xfId="0" applyNumberFormat="1" applyFont="1" applyFill="1" applyBorder="1" applyAlignment="1" applyProtection="1">
      <alignment vertical="center" wrapText="1"/>
    </xf>
    <xf numFmtId="165" fontId="64" fillId="0" borderId="8" xfId="28" applyNumberFormat="1" applyFont="1" applyFill="1" applyBorder="1" applyAlignment="1" applyProtection="1">
      <alignment vertical="center" wrapText="1"/>
      <protection locked="0"/>
    </xf>
    <xf numFmtId="165" fontId="64" fillId="0" borderId="2" xfId="0" applyNumberFormat="1" applyFont="1" applyFill="1" applyBorder="1" applyAlignment="1" applyProtection="1">
      <alignment vertical="center" wrapText="1"/>
      <protection locked="0"/>
    </xf>
    <xf numFmtId="0" fontId="75" fillId="0" borderId="41" xfId="28" applyFont="1" applyFill="1" applyBorder="1" applyAlignment="1">
      <alignment vertical="center"/>
    </xf>
    <xf numFmtId="165" fontId="64" fillId="0" borderId="23" xfId="0" applyNumberFormat="1" applyFont="1" applyFill="1" applyBorder="1" applyAlignment="1" applyProtection="1">
      <alignment vertical="center" wrapText="1"/>
    </xf>
    <xf numFmtId="49" fontId="6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4" xfId="0" applyNumberFormat="1" applyFont="1" applyFill="1" applyBorder="1" applyAlignment="1" applyProtection="1">
      <alignment vertical="center" wrapText="1"/>
      <protection locked="0"/>
    </xf>
    <xf numFmtId="49" fontId="6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2" xfId="0" applyNumberFormat="1" applyFont="1" applyFill="1" applyBorder="1" applyAlignment="1" applyProtection="1">
      <alignment vertical="center" wrapText="1"/>
      <protection locked="0"/>
    </xf>
    <xf numFmtId="0" fontId="75" fillId="0" borderId="42" xfId="0" quotePrefix="1" applyFont="1" applyFill="1" applyBorder="1" applyAlignment="1">
      <alignment vertical="center" wrapText="1"/>
    </xf>
    <xf numFmtId="0" fontId="75" fillId="0" borderId="42" xfId="0" quotePrefix="1" applyFont="1" applyFill="1" applyBorder="1" applyAlignment="1">
      <alignment vertical="center"/>
    </xf>
    <xf numFmtId="0" fontId="78" fillId="0" borderId="42" xfId="0" applyFont="1" applyFill="1" applyBorder="1" applyAlignment="1">
      <alignment vertical="center"/>
    </xf>
    <xf numFmtId="3" fontId="75" fillId="0" borderId="8" xfId="27" applyNumberFormat="1" applyFont="1" applyFill="1" applyBorder="1" applyAlignment="1">
      <alignment vertical="center"/>
    </xf>
    <xf numFmtId="3" fontId="75" fillId="0" borderId="2" xfId="27" applyNumberFormat="1" applyFont="1" applyFill="1" applyBorder="1" applyAlignment="1">
      <alignment vertical="center"/>
    </xf>
    <xf numFmtId="0" fontId="75" fillId="0" borderId="42" xfId="0" applyFont="1" applyFill="1" applyBorder="1" applyAlignment="1">
      <alignment vertical="center"/>
    </xf>
    <xf numFmtId="0" fontId="75" fillId="0" borderId="47" xfId="0" applyFont="1" applyFill="1" applyBorder="1" applyAlignment="1">
      <alignment vertical="center"/>
    </xf>
    <xf numFmtId="0" fontId="75" fillId="0" borderId="42" xfId="0" applyFont="1" applyFill="1" applyBorder="1" applyAlignment="1">
      <alignment vertical="center" wrapText="1"/>
    </xf>
    <xf numFmtId="165" fontId="63" fillId="0" borderId="18" xfId="0" applyNumberFormat="1" applyFont="1" applyFill="1" applyBorder="1" applyAlignment="1" applyProtection="1">
      <alignment vertical="center" wrapText="1"/>
    </xf>
    <xf numFmtId="165" fontId="63" fillId="0" borderId="9" xfId="28" applyNumberFormat="1" applyFont="1" applyFill="1" applyBorder="1" applyAlignment="1" applyProtection="1">
      <alignment vertical="center" wrapText="1"/>
      <protection locked="0"/>
    </xf>
    <xf numFmtId="49" fontId="6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3" xfId="0" applyNumberFormat="1" applyFont="1" applyFill="1" applyBorder="1" applyAlignment="1" applyProtection="1">
      <alignment vertical="center" wrapText="1"/>
      <protection locked="0"/>
    </xf>
    <xf numFmtId="165" fontId="63" fillId="0" borderId="20" xfId="0" applyNumberFormat="1" applyFont="1" applyFill="1" applyBorder="1" applyAlignment="1" applyProtection="1">
      <alignment vertical="center" wrapText="1"/>
    </xf>
    <xf numFmtId="165" fontId="63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3" fillId="0" borderId="8" xfId="28" applyNumberFormat="1" applyFont="1" applyFill="1" applyBorder="1" applyAlignment="1" applyProtection="1">
      <alignment vertical="center" wrapText="1"/>
      <protection locked="0"/>
    </xf>
    <xf numFmtId="165" fontId="63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3" fillId="0" borderId="8" xfId="21" applyFont="1" applyFill="1" applyBorder="1" applyAlignment="1" applyProtection="1">
      <alignment horizontal="left"/>
      <protection locked="0"/>
    </xf>
    <xf numFmtId="0" fontId="63" fillId="0" borderId="42" xfId="21" applyFont="1" applyFill="1" applyBorder="1" applyProtection="1">
      <protection locked="0"/>
    </xf>
    <xf numFmtId="165" fontId="6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5" fillId="0" borderId="11" xfId="0" applyNumberFormat="1" applyFont="1" applyFill="1" applyBorder="1" applyAlignment="1" applyProtection="1">
      <alignment vertical="center" wrapText="1"/>
      <protection locked="0"/>
    </xf>
    <xf numFmtId="49" fontId="7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4" xfId="0" applyNumberFormat="1" applyFont="1" applyFill="1" applyBorder="1" applyAlignment="1" applyProtection="1">
      <alignment vertical="center" wrapText="1"/>
      <protection locked="0"/>
    </xf>
    <xf numFmtId="165" fontId="75" fillId="0" borderId="17" xfId="0" applyNumberFormat="1" applyFont="1" applyFill="1" applyBorder="1" applyAlignment="1" applyProtection="1">
      <alignment vertical="center" wrapText="1"/>
    </xf>
    <xf numFmtId="165" fontId="7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5" fillId="0" borderId="8" xfId="0" applyNumberFormat="1" applyFont="1" applyFill="1" applyBorder="1" applyAlignment="1" applyProtection="1">
      <alignment vertical="center" wrapText="1"/>
      <protection locked="0"/>
    </xf>
    <xf numFmtId="49" fontId="7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2" xfId="0" applyNumberFormat="1" applyFont="1" applyFill="1" applyBorder="1" applyAlignment="1" applyProtection="1">
      <alignment vertical="center" wrapText="1"/>
      <protection locked="0"/>
    </xf>
    <xf numFmtId="165" fontId="80" fillId="0" borderId="18" xfId="0" applyNumberFormat="1" applyFont="1" applyFill="1" applyBorder="1" applyAlignment="1" applyProtection="1">
      <alignment vertical="center" wrapText="1"/>
    </xf>
    <xf numFmtId="165" fontId="75" fillId="0" borderId="18" xfId="0" applyNumberFormat="1" applyFont="1" applyFill="1" applyBorder="1" applyAlignment="1" applyProtection="1">
      <alignment vertical="center" wrapText="1"/>
    </xf>
    <xf numFmtId="165" fontId="7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4" fillId="0" borderId="18" xfId="0" applyNumberFormat="1" applyFont="1" applyFill="1" applyBorder="1" applyAlignment="1" applyProtection="1">
      <alignment vertical="center" wrapText="1"/>
    </xf>
    <xf numFmtId="0" fontId="78" fillId="0" borderId="42" xfId="0" applyFont="1" applyFill="1" applyBorder="1" applyAlignment="1">
      <alignment vertical="center" wrapText="1"/>
    </xf>
    <xf numFmtId="165" fontId="81" fillId="0" borderId="2" xfId="0" applyNumberFormat="1" applyFont="1" applyFill="1" applyBorder="1" applyAlignment="1" applyProtection="1">
      <alignment vertical="center" wrapText="1"/>
      <protection locked="0"/>
    </xf>
    <xf numFmtId="0" fontId="75" fillId="0" borderId="42" xfId="21" quotePrefix="1" applyFont="1" applyFill="1" applyBorder="1" applyProtection="1">
      <protection locked="0"/>
    </xf>
    <xf numFmtId="165" fontId="74" fillId="0" borderId="27" xfId="0" applyNumberFormat="1" applyFont="1" applyFill="1" applyBorder="1" applyAlignment="1" applyProtection="1">
      <alignment vertical="center" wrapText="1"/>
    </xf>
    <xf numFmtId="165" fontId="74" fillId="7" borderId="33" xfId="0" applyNumberFormat="1" applyFont="1" applyFill="1" applyBorder="1" applyAlignment="1" applyProtection="1">
      <alignment vertical="center" wrapText="1"/>
    </xf>
    <xf numFmtId="0" fontId="74" fillId="0" borderId="58" xfId="28" applyFont="1" applyFill="1" applyBorder="1" applyAlignment="1">
      <alignment vertical="center"/>
    </xf>
    <xf numFmtId="165" fontId="64" fillId="0" borderId="11" xfId="28" applyNumberFormat="1" applyFont="1" applyFill="1" applyBorder="1" applyAlignment="1" applyProtection="1">
      <alignment vertical="center" wrapText="1"/>
      <protection locked="0"/>
    </xf>
    <xf numFmtId="49" fontId="6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4" xfId="0" applyNumberFormat="1" applyFont="1" applyFill="1" applyBorder="1" applyAlignment="1" applyProtection="1">
      <alignment vertical="center" wrapText="1"/>
      <protection locked="0"/>
    </xf>
    <xf numFmtId="165" fontId="64" fillId="0" borderId="17" xfId="0" applyNumberFormat="1" applyFont="1" applyFill="1" applyBorder="1" applyAlignment="1" applyProtection="1">
      <alignment vertical="center" wrapText="1"/>
    </xf>
    <xf numFmtId="165" fontId="63" fillId="0" borderId="18" xfId="0" applyNumberFormat="1" applyFont="1" applyFill="1" applyBorder="1" applyAlignment="1">
      <alignment vertical="center" wrapText="1"/>
    </xf>
    <xf numFmtId="165" fontId="75" fillId="0" borderId="12" xfId="0" applyNumberFormat="1" applyFont="1" applyFill="1" applyBorder="1" applyAlignment="1" applyProtection="1">
      <alignment vertical="center" wrapText="1"/>
      <protection locked="0"/>
    </xf>
    <xf numFmtId="49" fontId="7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21" xfId="0" applyNumberFormat="1" applyFont="1" applyFill="1" applyBorder="1" applyAlignment="1" applyProtection="1">
      <alignment vertical="center" wrapText="1"/>
      <protection locked="0"/>
    </xf>
    <xf numFmtId="165" fontId="75" fillId="0" borderId="22" xfId="0" applyNumberFormat="1" applyFont="1" applyFill="1" applyBorder="1" applyAlignment="1" applyProtection="1">
      <alignment vertical="center" wrapText="1"/>
    </xf>
    <xf numFmtId="0" fontId="75" fillId="0" borderId="75" xfId="0" quotePrefix="1" applyFont="1" applyFill="1" applyBorder="1" applyAlignment="1">
      <alignment vertical="center"/>
    </xf>
    <xf numFmtId="0" fontId="78" fillId="0" borderId="58" xfId="0" applyFont="1" applyFill="1" applyBorder="1" applyAlignment="1">
      <alignment vertical="center"/>
    </xf>
    <xf numFmtId="165" fontId="75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8" fillId="0" borderId="58" xfId="21" applyFont="1" applyFill="1" applyBorder="1" applyProtection="1">
      <protection locked="0"/>
    </xf>
    <xf numFmtId="165" fontId="63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3" fillId="0" borderId="17" xfId="0" applyNumberFormat="1" applyFont="1" applyFill="1" applyBorder="1" applyAlignment="1" applyProtection="1">
      <alignment vertical="center" wrapText="1"/>
    </xf>
    <xf numFmtId="165" fontId="63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3" fillId="0" borderId="10" xfId="28" applyNumberFormat="1" applyFont="1" applyFill="1" applyBorder="1" applyAlignment="1" applyProtection="1">
      <alignment vertical="center" wrapText="1"/>
      <protection locked="0"/>
    </xf>
    <xf numFmtId="49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6" xfId="0" applyNumberFormat="1" applyFont="1" applyFill="1" applyBorder="1" applyAlignment="1" applyProtection="1">
      <alignment vertical="center" wrapText="1"/>
      <protection locked="0"/>
    </xf>
    <xf numFmtId="165" fontId="63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5" fillId="0" borderId="23" xfId="0" applyNumberFormat="1" applyFont="1" applyFill="1" applyBorder="1" applyAlignment="1">
      <alignment vertical="center" wrapText="1"/>
    </xf>
    <xf numFmtId="0" fontId="75" fillId="0" borderId="59" xfId="28" applyFont="1" applyFill="1" applyBorder="1" applyAlignment="1">
      <alignment vertical="center"/>
    </xf>
    <xf numFmtId="165" fontId="61" fillId="0" borderId="39" xfId="28" applyNumberFormat="1" applyFont="1" applyFill="1" applyBorder="1" applyAlignment="1" applyProtection="1">
      <alignment vertical="center" wrapText="1"/>
      <protection locked="0"/>
    </xf>
    <xf numFmtId="49" fontId="6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21" xfId="0" applyNumberFormat="1" applyFont="1" applyFill="1" applyBorder="1" applyAlignment="1" applyProtection="1">
      <alignment vertical="center" wrapText="1"/>
      <protection locked="0"/>
    </xf>
    <xf numFmtId="165" fontId="61" fillId="0" borderId="22" xfId="0" applyNumberFormat="1" applyFont="1" applyFill="1" applyBorder="1" applyAlignment="1" applyProtection="1">
      <alignment vertical="center" wrapText="1"/>
    </xf>
    <xf numFmtId="0" fontId="75" fillId="0" borderId="38" xfId="0" quotePrefix="1" applyFont="1" applyFill="1" applyBorder="1" applyAlignment="1">
      <alignment vertical="center"/>
    </xf>
    <xf numFmtId="165" fontId="75" fillId="0" borderId="7" xfId="0" applyNumberFormat="1" applyFont="1" applyFill="1" applyBorder="1" applyAlignment="1" applyProtection="1">
      <alignment vertical="center" wrapText="1"/>
      <protection locked="0"/>
    </xf>
    <xf numFmtId="49" fontId="7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1" xfId="0" applyNumberFormat="1" applyFont="1" applyFill="1" applyBorder="1" applyAlignment="1" applyProtection="1">
      <alignment vertical="center" wrapText="1"/>
      <protection locked="0"/>
    </xf>
    <xf numFmtId="165" fontId="75" fillId="0" borderId="40" xfId="0" applyNumberFormat="1" applyFont="1" applyFill="1" applyBorder="1" applyAlignment="1" applyProtection="1">
      <alignment vertical="center" wrapText="1"/>
    </xf>
    <xf numFmtId="165" fontId="65" fillId="0" borderId="0" xfId="0" applyNumberFormat="1" applyFont="1" applyFill="1" applyAlignment="1">
      <alignment vertical="center" wrapText="1"/>
    </xf>
    <xf numFmtId="165" fontId="68" fillId="0" borderId="0" xfId="0" applyNumberFormat="1" applyFont="1" applyFill="1" applyAlignment="1">
      <alignment vertical="center" wrapText="1"/>
    </xf>
    <xf numFmtId="165" fontId="85" fillId="0" borderId="0" xfId="0" applyNumberFormat="1" applyFont="1" applyFill="1" applyAlignment="1">
      <alignment vertical="center" wrapText="1"/>
    </xf>
    <xf numFmtId="165" fontId="86" fillId="0" borderId="0" xfId="0" applyNumberFormat="1" applyFont="1" applyFill="1" applyAlignment="1">
      <alignment vertical="center" wrapText="1"/>
    </xf>
    <xf numFmtId="165" fontId="63" fillId="0" borderId="0" xfId="0" applyNumberFormat="1" applyFont="1" applyFill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165" fontId="5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1" applyFont="1" applyFill="1" applyBorder="1" applyAlignment="1" applyProtection="1">
      <alignment horizontal="left" vertical="center" wrapText="1" indent="1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18" fillId="0" borderId="27" xfId="0" applyNumberFormat="1" applyFont="1" applyFill="1" applyBorder="1" applyAlignment="1">
      <alignment horizontal="right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49" fontId="6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2" xfId="0" applyNumberFormat="1" applyFont="1" applyFill="1" applyBorder="1" applyAlignment="1" applyProtection="1">
      <alignment vertical="center" wrapText="1"/>
      <protection locked="0"/>
    </xf>
    <xf numFmtId="0" fontId="64" fillId="0" borderId="9" xfId="21" applyFont="1" applyFill="1" applyBorder="1" applyAlignment="1" applyProtection="1">
      <alignment horizontal="left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60" fillId="0" borderId="17" xfId="0" applyNumberFormat="1" applyFont="1" applyFill="1" applyBorder="1" applyAlignment="1" applyProtection="1">
      <alignment vertical="center" wrapText="1"/>
    </xf>
    <xf numFmtId="165" fontId="60" fillId="0" borderId="18" xfId="0" applyNumberFormat="1" applyFont="1" applyFill="1" applyBorder="1" applyAlignment="1" applyProtection="1">
      <alignment vertical="center" wrapText="1"/>
    </xf>
    <xf numFmtId="165" fontId="6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0" fillId="0" borderId="2" xfId="28" applyNumberFormat="1" applyFont="1" applyFill="1" applyBorder="1" applyAlignment="1" applyProtection="1">
      <alignment vertical="center" wrapText="1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165" fontId="5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4" xfId="19" applyNumberFormat="1" applyFont="1" applyBorder="1"/>
    <xf numFmtId="0" fontId="72" fillId="0" borderId="71" xfId="0" applyFont="1" applyBorder="1" applyAlignment="1">
      <alignment wrapText="1"/>
    </xf>
    <xf numFmtId="3" fontId="51" fillId="0" borderId="3" xfId="19" applyNumberFormat="1" applyFont="1" applyBorder="1"/>
    <xf numFmtId="3" fontId="19" fillId="0" borderId="24" xfId="19" applyNumberFormat="1" applyFont="1" applyBorder="1"/>
    <xf numFmtId="0" fontId="83" fillId="0" borderId="51" xfId="19" applyFont="1" applyBorder="1" applyAlignment="1">
      <alignment horizontal="center"/>
    </xf>
    <xf numFmtId="3" fontId="60" fillId="0" borderId="4" xfId="19" applyNumberFormat="1" applyFont="1" applyBorder="1" applyAlignment="1">
      <alignment horizontal="right"/>
    </xf>
    <xf numFmtId="165" fontId="63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3" fillId="0" borderId="11" xfId="28" applyNumberFormat="1" applyFont="1" applyFill="1" applyBorder="1" applyAlignment="1" applyProtection="1">
      <alignment vertical="center" wrapText="1"/>
      <protection locked="0"/>
    </xf>
    <xf numFmtId="0" fontId="75" fillId="0" borderId="41" xfId="28" applyFont="1" applyFill="1" applyBorder="1" applyAlignment="1">
      <alignment vertical="center" wrapText="1"/>
    </xf>
    <xf numFmtId="165" fontId="61" fillId="0" borderId="2" xfId="0" applyNumberFormat="1" applyFont="1" applyFill="1" applyBorder="1" applyAlignment="1" applyProtection="1">
      <alignment vertical="center" wrapText="1"/>
      <protection locked="0"/>
    </xf>
    <xf numFmtId="165" fontId="80" fillId="0" borderId="27" xfId="0" applyNumberFormat="1" applyFont="1" applyFill="1" applyBorder="1" applyAlignment="1" applyProtection="1">
      <alignment vertical="center" wrapText="1"/>
    </xf>
    <xf numFmtId="169" fontId="6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3" fillId="0" borderId="19" xfId="26" applyNumberFormat="1" applyFont="1" applyFill="1" applyBorder="1" applyAlignment="1" applyProtection="1">
      <alignment horizontal="right" vertical="center" wrapText="1" indent="1"/>
    </xf>
    <xf numFmtId="167" fontId="63" fillId="9" borderId="26" xfId="26" applyNumberFormat="1" applyFont="1" applyFill="1" applyBorder="1" applyAlignment="1" applyProtection="1">
      <alignment horizontal="right" vertical="center" wrapText="1" indent="1"/>
    </xf>
    <xf numFmtId="165" fontId="1" fillId="9" borderId="2" xfId="28" applyNumberFormat="1" applyFont="1" applyFill="1" applyBorder="1" applyAlignment="1" applyProtection="1">
      <alignment vertical="center" wrapText="1"/>
      <protection locked="0"/>
    </xf>
    <xf numFmtId="165" fontId="60" fillId="0" borderId="18" xfId="0" applyNumberFormat="1" applyFont="1" applyFill="1" applyBorder="1" applyAlignment="1">
      <alignment vertical="center" wrapText="1"/>
    </xf>
    <xf numFmtId="165" fontId="60" fillId="0" borderId="22" xfId="0" applyNumberFormat="1" applyFont="1" applyFill="1" applyBorder="1" applyAlignment="1">
      <alignment vertical="center" wrapText="1"/>
    </xf>
    <xf numFmtId="165" fontId="60" fillId="0" borderId="6" xfId="0" applyNumberFormat="1" applyFont="1" applyFill="1" applyBorder="1" applyAlignment="1" applyProtection="1">
      <alignment vertical="center" wrapText="1"/>
      <protection locked="0"/>
    </xf>
    <xf numFmtId="165" fontId="60" fillId="0" borderId="23" xfId="0" applyNumberFormat="1" applyFont="1" applyFill="1" applyBorder="1" applyAlignment="1">
      <alignment vertical="center" wrapText="1"/>
    </xf>
    <xf numFmtId="3" fontId="1" fillId="0" borderId="11" xfId="19" applyNumberFormat="1" applyFont="1" applyBorder="1" applyAlignment="1">
      <alignment horizontal="right"/>
    </xf>
    <xf numFmtId="3" fontId="1" fillId="0" borderId="4" xfId="19" applyNumberFormat="1" applyFont="1" applyBorder="1" applyAlignment="1">
      <alignment horizontal="right"/>
    </xf>
    <xf numFmtId="0" fontId="1" fillId="0" borderId="46" xfId="19" quotePrefix="1" applyFont="1" applyBorder="1" applyAlignment="1">
      <alignment horizontal="left"/>
    </xf>
    <xf numFmtId="0" fontId="1" fillId="0" borderId="57" xfId="19" applyFont="1" applyBorder="1" applyAlignment="1">
      <alignment horizontal="left"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0" xfId="21" applyNumberFormat="1" applyFont="1" applyFill="1" applyBorder="1" applyAlignment="1" applyProtection="1">
      <alignment horizontal="center" vertical="center" wrapText="1"/>
    </xf>
    <xf numFmtId="165" fontId="26" fillId="0" borderId="17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right" vertical="center" wrapText="1" indent="1"/>
    </xf>
    <xf numFmtId="165" fontId="3" fillId="0" borderId="0" xfId="0" applyNumberFormat="1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25" fillId="0" borderId="0" xfId="0" applyNumberFormat="1" applyFont="1" applyFill="1" applyAlignment="1" applyProtection="1">
      <alignment vertical="center"/>
    </xf>
    <xf numFmtId="3" fontId="25" fillId="0" borderId="0" xfId="0" applyNumberFormat="1" applyFont="1" applyFill="1" applyAlignment="1" applyProtection="1">
      <alignment horizontal="center" vertical="center" wrapText="1"/>
    </xf>
    <xf numFmtId="3" fontId="30" fillId="0" borderId="0" xfId="0" applyNumberFormat="1" applyFont="1" applyFill="1" applyAlignment="1" applyProtection="1">
      <alignment vertical="center" wrapText="1"/>
    </xf>
    <xf numFmtId="0" fontId="0" fillId="0" borderId="0" xfId="0"/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5" fillId="0" borderId="14" xfId="21" applyFont="1" applyFill="1" applyBorder="1" applyAlignment="1" applyProtection="1">
      <alignment horizontal="left" vertical="center" wrapText="1" indent="1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69" fillId="0" borderId="0" xfId="0" applyFont="1" applyAlignment="1" applyProtection="1">
      <alignment horizontal="right" vertical="top"/>
    </xf>
    <xf numFmtId="49" fontId="70" fillId="0" borderId="17" xfId="0" applyNumberFormat="1" applyFont="1" applyFill="1" applyBorder="1" applyAlignment="1" applyProtection="1">
      <alignment horizontal="right" vertical="center"/>
    </xf>
    <xf numFmtId="49" fontId="70" fillId="0" borderId="45" xfId="0" applyNumberFormat="1" applyFont="1" applyFill="1" applyBorder="1" applyAlignment="1" applyProtection="1">
      <alignment horizontal="right" vertical="center"/>
    </xf>
    <xf numFmtId="0" fontId="71" fillId="0" borderId="0" xfId="0" applyFont="1" applyFill="1" applyAlignment="1" applyProtection="1">
      <alignment horizontal="right"/>
    </xf>
    <xf numFmtId="0" fontId="70" fillId="0" borderId="28" xfId="0" applyFont="1" applyFill="1" applyBorder="1" applyAlignment="1" applyProtection="1">
      <alignment horizontal="center" vertical="center" wrapText="1"/>
    </xf>
    <xf numFmtId="0" fontId="66" fillId="0" borderId="19" xfId="0" applyFont="1" applyFill="1" applyBorder="1" applyAlignment="1" applyProtection="1">
      <alignment horizontal="center" vertical="center" wrapText="1"/>
    </xf>
    <xf numFmtId="165" fontId="70" fillId="0" borderId="32" xfId="0" applyNumberFormat="1" applyFont="1" applyFill="1" applyBorder="1" applyAlignment="1" applyProtection="1">
      <alignment horizontal="center" vertical="center" wrapText="1"/>
    </xf>
    <xf numFmtId="165" fontId="62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horizontal="right" vertical="center" wrapText="1" indent="1"/>
    </xf>
    <xf numFmtId="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9" xfId="0" applyNumberFormat="1" applyFont="1" applyFill="1" applyBorder="1" applyAlignment="1" applyProtection="1">
      <alignment horizontal="right" vertical="center" wrapText="1" indent="1"/>
    </xf>
    <xf numFmtId="165" fontId="59" fillId="0" borderId="44" xfId="0" applyNumberFormat="1" applyFont="1" applyFill="1" applyBorder="1" applyAlignment="1" applyProtection="1">
      <alignment horizontal="right" vertical="center" wrapText="1" indent="1"/>
    </xf>
    <xf numFmtId="165" fontId="84" fillId="0" borderId="19" xfId="0" applyNumberFormat="1" applyFont="1" applyFill="1" applyBorder="1" applyAlignment="1" applyProtection="1">
      <alignment horizontal="right" vertical="center" wrapText="1" indent="1"/>
    </xf>
    <xf numFmtId="166" fontId="1" fillId="0" borderId="53" xfId="26" applyNumberFormat="1" applyFont="1" applyBorder="1"/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25" applyFont="1"/>
    <xf numFmtId="0" fontId="43" fillId="0" borderId="0" xfId="25" applyFont="1" applyAlignment="1">
      <alignment horizontal="centerContinuous"/>
    </xf>
    <xf numFmtId="0" fontId="41" fillId="0" borderId="0" xfId="25" applyFont="1"/>
    <xf numFmtId="3" fontId="33" fillId="0" borderId="2" xfId="19" applyNumberFormat="1" applyFont="1" applyBorder="1"/>
    <xf numFmtId="3" fontId="33" fillId="0" borderId="74" xfId="19" applyNumberFormat="1" applyFont="1" applyBorder="1"/>
    <xf numFmtId="3" fontId="33" fillId="0" borderId="6" xfId="19" applyNumberFormat="1" applyFont="1" applyBorder="1"/>
    <xf numFmtId="3" fontId="27" fillId="0" borderId="23" xfId="19" applyNumberFormat="1" applyFont="1" applyBorder="1"/>
    <xf numFmtId="3" fontId="33" fillId="0" borderId="10" xfId="19" applyNumberFormat="1" applyFont="1" applyBorder="1"/>
    <xf numFmtId="3" fontId="23" fillId="0" borderId="0" xfId="25" applyNumberFormat="1" applyFont="1"/>
    <xf numFmtId="3" fontId="72" fillId="0" borderId="0" xfId="25" applyNumberFormat="1" applyFont="1"/>
    <xf numFmtId="165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6" xfId="19" applyNumberFormat="1" applyFont="1" applyBorder="1"/>
    <xf numFmtId="166" fontId="1" fillId="0" borderId="32" xfId="26" applyNumberFormat="1" applyFont="1" applyBorder="1" applyAlignment="1"/>
    <xf numFmtId="3" fontId="27" fillId="0" borderId="20" xfId="19" applyNumberFormat="1" applyFont="1" applyBorder="1"/>
    <xf numFmtId="3" fontId="33" fillId="0" borderId="11" xfId="19" applyNumberFormat="1" applyFont="1" applyBorder="1"/>
    <xf numFmtId="3" fontId="33" fillId="0" borderId="4" xfId="19" applyNumberFormat="1" applyFont="1" applyBorder="1"/>
    <xf numFmtId="3" fontId="33" fillId="0" borderId="21" xfId="19" applyNumberFormat="1" applyFont="1" applyBorder="1"/>
    <xf numFmtId="3" fontId="33" fillId="0" borderId="55" xfId="19" applyNumberFormat="1" applyFont="1" applyBorder="1"/>
    <xf numFmtId="165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9" fillId="0" borderId="2" xfId="25" applyNumberFormat="1" applyFont="1" applyBorder="1" applyAlignment="1">
      <alignment horizontal="right"/>
    </xf>
    <xf numFmtId="3" fontId="59" fillId="0" borderId="18" xfId="25" applyNumberFormat="1" applyFont="1" applyBorder="1" applyAlignment="1">
      <alignment horizontal="right"/>
    </xf>
    <xf numFmtId="3" fontId="61" fillId="0" borderId="2" xfId="25" applyNumberFormat="1" applyFont="1" applyBorder="1" applyAlignment="1">
      <alignment horizontal="right"/>
    </xf>
    <xf numFmtId="3" fontId="61" fillId="0" borderId="2" xfId="26" applyNumberFormat="1" applyFont="1" applyBorder="1" applyAlignment="1">
      <alignment horizontal="right"/>
    </xf>
    <xf numFmtId="3" fontId="62" fillId="0" borderId="18" xfId="25" applyNumberFormat="1" applyFont="1" applyBorder="1" applyAlignment="1">
      <alignment horizontal="right"/>
    </xf>
    <xf numFmtId="0" fontId="87" fillId="0" borderId="0" xfId="25" applyFont="1"/>
    <xf numFmtId="0" fontId="61" fillId="0" borderId="8" xfId="24" applyFont="1" applyBorder="1" applyAlignment="1">
      <alignment horizontal="left"/>
    </xf>
    <xf numFmtId="3" fontId="62" fillId="0" borderId="2" xfId="25" applyNumberFormat="1" applyFont="1" applyBorder="1" applyAlignment="1">
      <alignment horizontal="right"/>
    </xf>
    <xf numFmtId="0" fontId="88" fillId="0" borderId="0" xfId="25" applyFont="1"/>
    <xf numFmtId="0" fontId="65" fillId="0" borderId="12" xfId="24" applyFont="1" applyBorder="1"/>
    <xf numFmtId="3" fontId="62" fillId="0" borderId="21" xfId="26" applyNumberFormat="1" applyFont="1" applyBorder="1" applyAlignment="1">
      <alignment horizontal="right"/>
    </xf>
    <xf numFmtId="3" fontId="33" fillId="0" borderId="17" xfId="19" applyNumberFormat="1" applyFont="1" applyBorder="1"/>
    <xf numFmtId="0" fontId="0" fillId="0" borderId="57" xfId="0" applyFont="1" applyBorder="1" applyAlignment="1">
      <alignment vertical="center" wrapText="1"/>
    </xf>
    <xf numFmtId="0" fontId="0" fillId="0" borderId="46" xfId="0" quotePrefix="1" applyFont="1" applyBorder="1" applyAlignment="1">
      <alignment vertical="center" wrapText="1"/>
    </xf>
    <xf numFmtId="0" fontId="0" fillId="0" borderId="29" xfId="0" quotePrefix="1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165" fontId="63" fillId="0" borderId="23" xfId="0" applyNumberFormat="1" applyFont="1" applyFill="1" applyBorder="1" applyAlignment="1">
      <alignment vertical="center" wrapText="1"/>
    </xf>
    <xf numFmtId="165" fontId="61" fillId="0" borderId="23" xfId="0" applyNumberFormat="1" applyFont="1" applyFill="1" applyBorder="1" applyAlignment="1" applyProtection="1">
      <alignment vertical="center" wrapText="1"/>
    </xf>
    <xf numFmtId="0" fontId="75" fillId="0" borderId="29" xfId="0" quotePrefix="1" applyFont="1" applyFill="1" applyBorder="1" applyAlignment="1">
      <alignment vertical="center" wrapText="1"/>
    </xf>
    <xf numFmtId="3" fontId="67" fillId="0" borderId="8" xfId="19" applyNumberFormat="1" applyFont="1" applyBorder="1"/>
    <xf numFmtId="165" fontId="6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2" fontId="6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2" fontId="63" fillId="0" borderId="19" xfId="26" applyNumberFormat="1" applyFont="1" applyFill="1" applyBorder="1" applyAlignment="1" applyProtection="1">
      <alignment horizontal="right" vertical="center" wrapText="1" indent="1"/>
    </xf>
    <xf numFmtId="2" fontId="63" fillId="9" borderId="26" xfId="26" applyNumberFormat="1" applyFont="1" applyFill="1" applyBorder="1" applyAlignment="1" applyProtection="1">
      <alignment horizontal="right" vertical="center" wrapText="1" indent="1"/>
    </xf>
    <xf numFmtId="0" fontId="89" fillId="0" borderId="0" xfId="25" applyFont="1"/>
    <xf numFmtId="0" fontId="90" fillId="0" borderId="0" xfId="25" applyFont="1" applyAlignment="1">
      <alignment horizontal="centerContinuous"/>
    </xf>
    <xf numFmtId="0" fontId="90" fillId="0" borderId="0" xfId="22" applyFont="1" applyAlignment="1">
      <alignment horizontal="centerContinuous"/>
    </xf>
    <xf numFmtId="0" fontId="91" fillId="0" borderId="0" xfId="25" applyFont="1" applyAlignment="1">
      <alignment horizontal="centerContinuous"/>
    </xf>
    <xf numFmtId="0" fontId="92" fillId="0" borderId="0" xfId="22" applyFont="1" applyFill="1" applyAlignment="1">
      <alignment horizontal="centerContinuous"/>
    </xf>
    <xf numFmtId="0" fontId="92" fillId="0" borderId="0" xfId="25" applyFont="1" applyAlignment="1">
      <alignment horizontal="centerContinuous"/>
    </xf>
    <xf numFmtId="0" fontId="93" fillId="0" borderId="0" xfId="25" applyFont="1" applyAlignment="1">
      <alignment horizontal="centerContinuous"/>
    </xf>
    <xf numFmtId="0" fontId="94" fillId="0" borderId="0" xfId="25" applyFont="1" applyAlignment="1">
      <alignment horizontal="right"/>
    </xf>
    <xf numFmtId="0" fontId="66" fillId="0" borderId="2" xfId="25" applyFont="1" applyBorder="1" applyAlignment="1">
      <alignment horizontal="center"/>
    </xf>
    <xf numFmtId="0" fontId="66" fillId="0" borderId="18" xfId="25" applyFont="1" applyBorder="1" applyAlignment="1">
      <alignment horizontal="center"/>
    </xf>
    <xf numFmtId="3" fontId="62" fillId="0" borderId="22" xfId="26" applyNumberFormat="1" applyFont="1" applyBorder="1" applyAlignment="1">
      <alignment horizontal="right"/>
    </xf>
    <xf numFmtId="3" fontId="95" fillId="0" borderId="0" xfId="25" applyNumberFormat="1" applyFont="1"/>
    <xf numFmtId="3" fontId="96" fillId="0" borderId="0" xfId="25" applyNumberFormat="1" applyFont="1"/>
    <xf numFmtId="3" fontId="75" fillId="0" borderId="0" xfId="25" applyNumberFormat="1" applyFont="1"/>
    <xf numFmtId="3" fontId="74" fillId="0" borderId="0" xfId="25" applyNumberFormat="1" applyFont="1"/>
    <xf numFmtId="3" fontId="88" fillId="0" borderId="0" xfId="25" applyNumberFormat="1" applyFont="1"/>
    <xf numFmtId="0" fontId="97" fillId="0" borderId="0" xfId="25" applyFont="1"/>
    <xf numFmtId="3" fontId="61" fillId="0" borderId="2" xfId="26" quotePrefix="1" applyNumberFormat="1" applyFont="1" applyBorder="1" applyAlignment="1">
      <alignment horizontal="right"/>
    </xf>
    <xf numFmtId="165" fontId="6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80" fillId="0" borderId="34" xfId="0" applyNumberFormat="1" applyFont="1" applyFill="1" applyBorder="1" applyAlignment="1" applyProtection="1">
      <alignment horizontal="left" vertical="center" wrapText="1"/>
    </xf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6" fontId="60" fillId="0" borderId="36" xfId="26" applyNumberFormat="1" applyFont="1" applyBorder="1" applyAlignment="1"/>
    <xf numFmtId="165" fontId="59" fillId="0" borderId="18" xfId="23" applyNumberFormat="1" applyFont="1" applyFill="1" applyBorder="1" applyAlignment="1" applyProtection="1">
      <alignment vertical="center"/>
    </xf>
    <xf numFmtId="3" fontId="67" fillId="0" borderId="10" xfId="19" applyNumberFormat="1" applyFont="1" applyBorder="1"/>
    <xf numFmtId="0" fontId="61" fillId="0" borderId="8" xfId="25" applyFont="1" applyBorder="1" applyAlignment="1">
      <alignment horizontal="left"/>
    </xf>
    <xf numFmtId="2" fontId="63" fillId="0" borderId="26" xfId="26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vertical="center" wrapText="1"/>
    </xf>
    <xf numFmtId="3" fontId="98" fillId="0" borderId="0" xfId="0" applyNumberFormat="1" applyFont="1" applyFill="1" applyAlignment="1" applyProtection="1">
      <alignment vertical="center" wrapText="1"/>
    </xf>
    <xf numFmtId="165" fontId="65" fillId="0" borderId="40" xfId="0" applyNumberFormat="1" applyFont="1" applyFill="1" applyBorder="1" applyAlignment="1">
      <alignment vertical="center" wrapText="1"/>
    </xf>
    <xf numFmtId="165" fontId="74" fillId="0" borderId="11" xfId="0" applyNumberFormat="1" applyFont="1" applyFill="1" applyBorder="1" applyAlignment="1" applyProtection="1">
      <alignment vertical="center" wrapText="1"/>
      <protection locked="0"/>
    </xf>
    <xf numFmtId="49" fontId="7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4" fillId="0" borderId="4" xfId="0" applyNumberFormat="1" applyFont="1" applyFill="1" applyBorder="1" applyAlignment="1" applyProtection="1">
      <alignment vertical="center" wrapText="1"/>
      <protection locked="0"/>
    </xf>
    <xf numFmtId="165" fontId="74" fillId="0" borderId="17" xfId="0" applyNumberFormat="1" applyFont="1" applyFill="1" applyBorder="1" applyAlignment="1" applyProtection="1">
      <alignment vertical="center" wrapText="1"/>
    </xf>
    <xf numFmtId="165" fontId="75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75" fillId="0" borderId="30" xfId="0" quotePrefix="1" applyFont="1" applyFill="1" applyBorder="1" applyAlignment="1">
      <alignment vertical="center"/>
    </xf>
    <xf numFmtId="165" fontId="75" fillId="0" borderId="10" xfId="0" applyNumberFormat="1" applyFont="1" applyFill="1" applyBorder="1" applyAlignment="1" applyProtection="1">
      <alignment vertical="center" wrapText="1"/>
      <protection locked="0"/>
    </xf>
    <xf numFmtId="49" fontId="7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6" xfId="0" applyNumberFormat="1" applyFont="1" applyFill="1" applyBorder="1" applyAlignment="1" applyProtection="1">
      <alignment vertical="center" wrapText="1"/>
      <protection locked="0"/>
    </xf>
    <xf numFmtId="165" fontId="75" fillId="0" borderId="23" xfId="0" applyNumberFormat="1" applyFont="1" applyFill="1" applyBorder="1" applyAlignment="1" applyProtection="1">
      <alignment vertical="center" wrapText="1"/>
    </xf>
    <xf numFmtId="165" fontId="5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4" xfId="26" applyNumberFormat="1" applyFont="1" applyBorder="1"/>
    <xf numFmtId="165" fontId="26" fillId="0" borderId="18" xfId="23" applyNumberFormat="1" applyFont="1" applyFill="1" applyBorder="1" applyAlignment="1" applyProtection="1">
      <alignment vertical="center"/>
    </xf>
    <xf numFmtId="0" fontId="26" fillId="0" borderId="43" xfId="0" applyFont="1" applyBorder="1" applyAlignment="1" applyProtection="1">
      <alignment horizontal="right" vertical="center" indent="1"/>
    </xf>
    <xf numFmtId="0" fontId="26" fillId="0" borderId="70" xfId="0" applyFont="1" applyBorder="1" applyAlignment="1" applyProtection="1">
      <alignment horizontal="left" vertical="center" wrapText="1"/>
      <protection locked="0"/>
    </xf>
    <xf numFmtId="3" fontId="26" fillId="0" borderId="40" xfId="0" applyNumberFormat="1" applyFont="1" applyFill="1" applyBorder="1" applyAlignment="1" applyProtection="1">
      <alignment horizontal="right" vertical="center" indent="1"/>
      <protection locked="0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3" fontId="33" fillId="0" borderId="10" xfId="19" applyNumberFormat="1" applyFont="1" applyFill="1" applyBorder="1"/>
    <xf numFmtId="3" fontId="67" fillId="0" borderId="2" xfId="19" applyNumberFormat="1" applyFont="1" applyBorder="1"/>
    <xf numFmtId="3" fontId="59" fillId="0" borderId="2" xfId="26" quotePrefix="1" applyNumberFormat="1" applyFont="1" applyBorder="1" applyAlignment="1">
      <alignment horizontal="right"/>
    </xf>
    <xf numFmtId="3" fontId="59" fillId="0" borderId="2" xfId="26" applyNumberFormat="1" applyFont="1" applyBorder="1" applyAlignment="1">
      <alignment horizontal="right"/>
    </xf>
    <xf numFmtId="165" fontId="84" fillId="0" borderId="44" xfId="0" applyNumberFormat="1" applyFont="1" applyFill="1" applyBorder="1" applyAlignment="1" applyProtection="1">
      <alignment horizontal="right" vertical="center" wrapText="1" indent="1"/>
    </xf>
    <xf numFmtId="165" fontId="5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7" xfId="21" applyNumberFormat="1" applyFont="1" applyFill="1" applyBorder="1" applyAlignment="1" applyProtection="1">
      <alignment horizontal="right" vertical="center" wrapText="1" indent="1"/>
    </xf>
    <xf numFmtId="165" fontId="59" fillId="0" borderId="22" xfId="21" applyNumberFormat="1" applyFont="1" applyFill="1" applyBorder="1" applyAlignment="1" applyProtection="1">
      <alignment horizontal="right" vertical="center" wrapText="1" indent="1"/>
    </xf>
    <xf numFmtId="165" fontId="84" fillId="0" borderId="17" xfId="21" applyNumberFormat="1" applyFont="1" applyFill="1" applyBorder="1" applyAlignment="1" applyProtection="1">
      <alignment horizontal="right" vertical="center" wrapText="1" indent="1"/>
    </xf>
    <xf numFmtId="165" fontId="59" fillId="0" borderId="23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8" xfId="28" applyNumberFormat="1" applyFont="1" applyFill="1" applyBorder="1" applyAlignment="1" applyProtection="1">
      <alignment vertical="center" wrapText="1"/>
      <protection locked="0"/>
    </xf>
    <xf numFmtId="3" fontId="72" fillId="0" borderId="8" xfId="27" applyNumberFormat="1" applyFont="1" applyFill="1" applyBorder="1" applyAlignment="1">
      <alignment vertical="center"/>
    </xf>
    <xf numFmtId="49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2" xfId="0" applyNumberFormat="1" applyFont="1" applyFill="1" applyBorder="1" applyAlignment="1" applyProtection="1">
      <alignment vertical="center" wrapText="1"/>
      <protection locked="0"/>
    </xf>
    <xf numFmtId="3" fontId="72" fillId="0" borderId="2" xfId="27" applyNumberFormat="1" applyFont="1" applyFill="1" applyBorder="1" applyAlignment="1">
      <alignment vertical="center"/>
    </xf>
    <xf numFmtId="0" fontId="72" fillId="0" borderId="42" xfId="0" applyFont="1" applyFill="1" applyBorder="1" applyAlignment="1">
      <alignment vertical="center"/>
    </xf>
    <xf numFmtId="165" fontId="63" fillId="0" borderId="41" xfId="28" applyNumberFormat="1" applyFont="1" applyFill="1" applyBorder="1" applyAlignment="1" applyProtection="1">
      <alignment horizontal="left" vertical="center" wrapText="1"/>
      <protection locked="0"/>
    </xf>
    <xf numFmtId="165" fontId="63" fillId="0" borderId="7" xfId="28" applyNumberFormat="1" applyFont="1" applyFill="1" applyBorder="1" applyAlignment="1" applyProtection="1">
      <alignment vertical="center" wrapText="1"/>
      <protection locked="0"/>
    </xf>
    <xf numFmtId="49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1" xfId="0" applyNumberFormat="1" applyFont="1" applyFill="1" applyBorder="1" applyAlignment="1" applyProtection="1">
      <alignment vertical="center" wrapText="1"/>
      <protection locked="0"/>
    </xf>
    <xf numFmtId="165" fontId="61" fillId="0" borderId="9" xfId="28" applyNumberFormat="1" applyFont="1" applyFill="1" applyBorder="1" applyAlignment="1" applyProtection="1">
      <alignment vertical="center" wrapText="1"/>
      <protection locked="0"/>
    </xf>
    <xf numFmtId="165" fontId="59" fillId="0" borderId="2" xfId="0" applyNumberFormat="1" applyFont="1" applyFill="1" applyBorder="1" applyAlignment="1" applyProtection="1">
      <alignment vertical="center" wrapText="1"/>
      <protection locked="0"/>
    </xf>
    <xf numFmtId="165" fontId="59" fillId="0" borderId="9" xfId="28" applyNumberFormat="1" applyFont="1" applyFill="1" applyBorder="1" applyAlignment="1" applyProtection="1">
      <alignment vertical="center" wrapText="1"/>
      <protection locked="0"/>
    </xf>
    <xf numFmtId="165" fontId="60" fillId="0" borderId="10" xfId="28" applyNumberFormat="1" applyFont="1" applyFill="1" applyBorder="1" applyAlignment="1" applyProtection="1">
      <alignment vertical="center" wrapText="1"/>
      <protection locked="0"/>
    </xf>
    <xf numFmtId="165" fontId="1" fillId="0" borderId="10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6" xfId="28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vertical="center" wrapText="1"/>
      <protection locked="0"/>
    </xf>
    <xf numFmtId="165" fontId="1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6" fontId="0" fillId="0" borderId="32" xfId="26" applyNumberFormat="1" applyFont="1" applyBorder="1" applyAlignment="1"/>
    <xf numFmtId="0" fontId="99" fillId="0" borderId="56" xfId="18" applyFont="1" applyBorder="1"/>
    <xf numFmtId="3" fontId="100" fillId="0" borderId="32" xfId="18" applyNumberFormat="1" applyFont="1" applyBorder="1" applyAlignment="1">
      <alignment horizontal="right" indent="2"/>
    </xf>
    <xf numFmtId="0" fontId="99" fillId="0" borderId="42" xfId="18" applyFont="1" applyBorder="1"/>
    <xf numFmtId="3" fontId="99" fillId="0" borderId="36" xfId="18" applyNumberFormat="1" applyFont="1" applyBorder="1" applyAlignment="1">
      <alignment horizontal="right" indent="2"/>
    </xf>
    <xf numFmtId="3" fontId="100" fillId="0" borderId="36" xfId="18" applyNumberFormat="1" applyFont="1" applyBorder="1" applyAlignment="1">
      <alignment horizontal="right" indent="2"/>
    </xf>
    <xf numFmtId="0" fontId="72" fillId="0" borderId="0" xfId="18" applyFont="1"/>
    <xf numFmtId="0" fontId="101" fillId="0" borderId="0" xfId="18" applyFont="1" applyAlignment="1">
      <alignment horizontal="center"/>
    </xf>
    <xf numFmtId="0" fontId="102" fillId="0" borderId="0" xfId="18" applyFont="1" applyAlignment="1">
      <alignment horizontal="centerContinuous"/>
    </xf>
    <xf numFmtId="0" fontId="14" fillId="0" borderId="48" xfId="18" applyFont="1" applyBorder="1" applyAlignment="1">
      <alignment horizontal="center" vertical="center" wrapText="1"/>
    </xf>
    <xf numFmtId="0" fontId="14" fillId="0" borderId="58" xfId="18" applyFont="1" applyBorder="1" applyAlignment="1">
      <alignment horizontal="left" vertical="center" wrapText="1"/>
    </xf>
    <xf numFmtId="3" fontId="14" fillId="0" borderId="57" xfId="18" applyNumberFormat="1" applyFont="1" applyBorder="1" applyAlignment="1">
      <alignment horizontal="center" vertical="center" wrapText="1"/>
    </xf>
    <xf numFmtId="0" fontId="99" fillId="0" borderId="41" xfId="18" applyFont="1" applyBorder="1" applyAlignment="1">
      <alignment horizontal="left" vertical="center" wrapText="1"/>
    </xf>
    <xf numFmtId="3" fontId="99" fillId="0" borderId="50" xfId="18" applyNumberFormat="1" applyFont="1" applyBorder="1" applyAlignment="1">
      <alignment horizontal="right" indent="2"/>
    </xf>
    <xf numFmtId="0" fontId="99" fillId="0" borderId="41" xfId="18" applyFont="1" applyBorder="1" applyAlignment="1">
      <alignment wrapText="1"/>
    </xf>
    <xf numFmtId="3" fontId="99" fillId="0" borderId="50" xfId="27" applyNumberFormat="1" applyFont="1" applyBorder="1" applyAlignment="1">
      <alignment horizontal="right" indent="2"/>
    </xf>
    <xf numFmtId="0" fontId="102" fillId="0" borderId="41" xfId="18" applyFont="1" applyBorder="1" applyAlignment="1">
      <alignment wrapText="1"/>
    </xf>
    <xf numFmtId="3" fontId="102" fillId="0" borderId="50" xfId="27" applyNumberFormat="1" applyFont="1" applyBorder="1" applyAlignment="1">
      <alignment horizontal="right" indent="2"/>
    </xf>
    <xf numFmtId="3" fontId="100" fillId="0" borderId="50" xfId="27" applyNumberFormat="1" applyFont="1" applyBorder="1" applyAlignment="1">
      <alignment horizontal="right" indent="2"/>
    </xf>
    <xf numFmtId="0" fontId="14" fillId="0" borderId="41" xfId="18" applyFont="1" applyBorder="1" applyAlignment="1">
      <alignment wrapText="1"/>
    </xf>
    <xf numFmtId="3" fontId="14" fillId="0" borderId="50" xfId="27" applyNumberFormat="1" applyFont="1" applyBorder="1" applyAlignment="1">
      <alignment horizontal="right" indent="2"/>
    </xf>
    <xf numFmtId="0" fontId="99" fillId="0" borderId="42" xfId="18" applyFont="1" applyBorder="1" applyAlignment="1">
      <alignment wrapText="1"/>
    </xf>
    <xf numFmtId="0" fontId="14" fillId="0" borderId="42" xfId="18" applyFont="1" applyBorder="1" applyAlignment="1">
      <alignment wrapText="1"/>
    </xf>
    <xf numFmtId="0" fontId="99" fillId="0" borderId="42" xfId="18" applyFont="1" applyBorder="1" applyAlignment="1">
      <alignment horizontal="left" wrapText="1"/>
    </xf>
    <xf numFmtId="0" fontId="99" fillId="0" borderId="38" xfId="18" applyFont="1" applyBorder="1" applyAlignment="1">
      <alignment wrapText="1"/>
    </xf>
    <xf numFmtId="3" fontId="99" fillId="0" borderId="32" xfId="27" applyNumberFormat="1" applyFont="1" applyBorder="1" applyAlignment="1">
      <alignment horizontal="right" indent="2"/>
    </xf>
    <xf numFmtId="3" fontId="99" fillId="0" borderId="36" xfId="27" applyNumberFormat="1" applyFont="1" applyBorder="1" applyAlignment="1">
      <alignment horizontal="right" indent="2"/>
    </xf>
    <xf numFmtId="3" fontId="100" fillId="0" borderId="45" xfId="18" applyNumberFormat="1" applyFont="1" applyBorder="1" applyAlignment="1">
      <alignment horizontal="right" indent="2"/>
    </xf>
    <xf numFmtId="166" fontId="72" fillId="0" borderId="0" xfId="18" applyNumberFormat="1" applyFont="1"/>
    <xf numFmtId="0" fontId="100" fillId="0" borderId="56" xfId="18" applyFont="1" applyBorder="1" applyAlignment="1">
      <alignment wrapText="1"/>
    </xf>
    <xf numFmtId="0" fontId="14" fillId="0" borderId="27" xfId="18" applyFont="1" applyBorder="1" applyAlignment="1">
      <alignment horizontal="left"/>
    </xf>
    <xf numFmtId="3" fontId="59" fillId="0" borderId="18" xfId="0" applyNumberFormat="1" applyFont="1" applyBorder="1" applyAlignment="1" applyProtection="1">
      <alignment horizontal="right" vertical="center" indent="1"/>
      <protection locked="0"/>
    </xf>
    <xf numFmtId="3" fontId="67" fillId="0" borderId="5" xfId="19" applyNumberFormat="1" applyFont="1" applyBorder="1"/>
    <xf numFmtId="3" fontId="67" fillId="0" borderId="9" xfId="19" applyNumberFormat="1" applyFont="1" applyBorder="1"/>
    <xf numFmtId="3" fontId="67" fillId="0" borderId="12" xfId="19" applyNumberFormat="1" applyFont="1" applyBorder="1"/>
    <xf numFmtId="165" fontId="32" fillId="0" borderId="24" xfId="21" applyNumberFormat="1" applyFont="1" applyFill="1" applyBorder="1" applyAlignment="1" applyProtection="1">
      <alignment horizontal="left" vertical="center"/>
    </xf>
    <xf numFmtId="165" fontId="6" fillId="0" borderId="0" xfId="21" applyNumberFormat="1" applyFont="1" applyFill="1" applyBorder="1" applyAlignment="1" applyProtection="1">
      <alignment horizontal="center" vertical="center"/>
    </xf>
    <xf numFmtId="165" fontId="32" fillId="0" borderId="24" xfId="21" applyNumberFormat="1" applyFont="1" applyFill="1" applyBorder="1" applyAlignment="1" applyProtection="1">
      <alignment horizontal="left"/>
    </xf>
    <xf numFmtId="0" fontId="21" fillId="0" borderId="0" xfId="21" applyFont="1" applyFill="1" applyAlignment="1" applyProtection="1">
      <alignment horizontal="center"/>
    </xf>
    <xf numFmtId="165" fontId="27" fillId="0" borderId="24" xfId="21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7" fillId="0" borderId="61" xfId="0" applyNumberFormat="1" applyFont="1" applyFill="1" applyBorder="1" applyAlignment="1" applyProtection="1">
      <alignment horizontal="center" vertical="center" wrapText="1"/>
    </xf>
    <xf numFmtId="165" fontId="27" fillId="0" borderId="59" xfId="0" applyNumberFormat="1" applyFont="1" applyFill="1" applyBorder="1" applyAlignment="1" applyProtection="1">
      <alignment horizontal="center" vertical="center" wrapText="1"/>
    </xf>
    <xf numFmtId="165" fontId="39" fillId="0" borderId="51" xfId="0" applyNumberFormat="1" applyFont="1" applyFill="1" applyBorder="1" applyAlignment="1" applyProtection="1">
      <alignment horizontal="center" vertical="center" wrapText="1"/>
    </xf>
    <xf numFmtId="165" fontId="21" fillId="0" borderId="24" xfId="0" applyNumberFormat="1" applyFont="1" applyFill="1" applyBorder="1" applyAlignment="1" applyProtection="1">
      <alignment horizontal="center" vertical="center" wrapText="1"/>
    </xf>
    <xf numFmtId="165" fontId="27" fillId="0" borderId="58" xfId="0" applyNumberFormat="1" applyFont="1" applyFill="1" applyBorder="1" applyAlignment="1" applyProtection="1">
      <alignment horizontal="center" vertical="center" wrapText="1"/>
    </xf>
    <xf numFmtId="165" fontId="27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7" fillId="0" borderId="0" xfId="0" applyNumberFormat="1" applyFont="1" applyFill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165" fontId="78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right"/>
    </xf>
    <xf numFmtId="0" fontId="65" fillId="0" borderId="12" xfId="0" applyFont="1" applyFill="1" applyBorder="1" applyAlignment="1" applyProtection="1">
      <alignment horizontal="left" vertical="center" wrapText="1"/>
    </xf>
    <xf numFmtId="0" fontId="65" fillId="0" borderId="21" xfId="0" applyFont="1" applyFill="1" applyBorder="1" applyAlignment="1" applyProtection="1">
      <alignment horizontal="left" vertical="center" wrapText="1"/>
    </xf>
    <xf numFmtId="0" fontId="28" fillId="0" borderId="12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horizontal="left" vertical="center" wrapText="1"/>
    </xf>
    <xf numFmtId="0" fontId="63" fillId="0" borderId="13" xfId="0" applyFont="1" applyFill="1" applyBorder="1" applyAlignment="1" applyProtection="1">
      <alignment horizontal="left" vertical="center" wrapText="1"/>
    </xf>
    <xf numFmtId="0" fontId="63" fillId="0" borderId="14" xfId="0" applyFont="1" applyFill="1" applyBorder="1" applyAlignment="1" applyProtection="1">
      <alignment horizontal="left" vertical="center" wrapText="1"/>
    </xf>
    <xf numFmtId="0" fontId="63" fillId="9" borderId="39" xfId="0" applyFont="1" applyFill="1" applyBorder="1" applyAlignment="1" applyProtection="1">
      <alignment horizontal="left" vertical="center" wrapText="1"/>
    </xf>
    <xf numFmtId="0" fontId="63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63" fillId="0" borderId="34" xfId="0" applyFont="1" applyFill="1" applyBorder="1" applyAlignment="1" applyProtection="1">
      <alignment horizontal="left" vertical="center" wrapText="1"/>
    </xf>
    <xf numFmtId="0" fontId="63" fillId="0" borderId="33" xfId="0" applyFont="1" applyFill="1" applyBorder="1" applyAlignment="1" applyProtection="1">
      <alignment horizontal="left" vertical="center" wrapText="1"/>
    </xf>
    <xf numFmtId="0" fontId="63" fillId="0" borderId="12" xfId="0" applyFont="1" applyFill="1" applyBorder="1" applyAlignment="1" applyProtection="1">
      <alignment horizontal="left" vertical="center" wrapText="1"/>
    </xf>
    <xf numFmtId="0" fontId="63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66" fillId="0" borderId="4" xfId="25" applyFont="1" applyBorder="1" applyAlignment="1">
      <alignment horizontal="left"/>
    </xf>
    <xf numFmtId="0" fontId="88" fillId="0" borderId="4" xfId="25" applyFont="1" applyBorder="1" applyAlignment="1">
      <alignment horizontal="left"/>
    </xf>
    <xf numFmtId="0" fontId="66" fillId="0" borderId="4" xfId="25" applyFont="1" applyBorder="1" applyAlignment="1">
      <alignment horizontal="center"/>
    </xf>
    <xf numFmtId="0" fontId="88" fillId="0" borderId="4" xfId="25" applyFont="1" applyBorder="1" applyAlignment="1">
      <alignment horizontal="center"/>
    </xf>
    <xf numFmtId="0" fontId="88" fillId="0" borderId="17" xfId="25" applyFont="1" applyBorder="1" applyAlignment="1">
      <alignment horizontal="center"/>
    </xf>
    <xf numFmtId="0" fontId="66" fillId="0" borderId="6" xfId="25" applyFont="1" applyBorder="1" applyAlignment="1">
      <alignment horizontal="center" vertical="top" wrapText="1"/>
    </xf>
    <xf numFmtId="0" fontId="66" fillId="0" borderId="3" xfId="25" applyFont="1" applyBorder="1" applyAlignment="1">
      <alignment horizontal="center" vertical="top" wrapText="1"/>
    </xf>
    <xf numFmtId="0" fontId="1" fillId="0" borderId="47" xfId="20" applyFont="1" applyBorder="1" applyAlignment="1">
      <alignment horizontal="left"/>
    </xf>
    <xf numFmtId="0" fontId="1" fillId="0" borderId="72" xfId="20" applyFont="1" applyBorder="1" applyAlignment="1">
      <alignment horizontal="left"/>
    </xf>
    <xf numFmtId="0" fontId="1" fillId="0" borderId="36" xfId="20" applyFont="1" applyBorder="1" applyAlignment="1">
      <alignment horizontal="left"/>
    </xf>
    <xf numFmtId="0" fontId="21" fillId="0" borderId="0" xfId="21" applyFont="1" applyFill="1" applyAlignment="1">
      <alignment horizontal="center" wrapText="1"/>
    </xf>
    <xf numFmtId="0" fontId="21" fillId="0" borderId="0" xfId="21" applyFont="1" applyFill="1" applyAlignment="1">
      <alignment horizontal="center"/>
    </xf>
    <xf numFmtId="0" fontId="21" fillId="0" borderId="0" xfId="23" applyFont="1" applyFill="1" applyAlignment="1" applyProtection="1">
      <alignment horizontal="center" wrapText="1"/>
    </xf>
    <xf numFmtId="0" fontId="21" fillId="0" borderId="0" xfId="23" applyFont="1" applyFill="1" applyAlignment="1" applyProtection="1">
      <alignment horizontal="center"/>
    </xf>
    <xf numFmtId="0" fontId="19" fillId="0" borderId="68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01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61" xfId="18" applyFont="1" applyBorder="1" applyAlignment="1">
      <alignment horizontal="center" vertical="center" wrapText="1"/>
    </xf>
    <xf numFmtId="0" fontId="14" fillId="0" borderId="38" xfId="18" applyFont="1" applyBorder="1" applyAlignment="1">
      <alignment horizontal="center" vertical="center" wrapText="1"/>
    </xf>
    <xf numFmtId="0" fontId="14" fillId="0" borderId="59" xfId="18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2" fillId="0" borderId="0" xfId="0" applyFont="1" applyAlignment="1" applyProtection="1">
      <alignment horizontal="right"/>
    </xf>
    <xf numFmtId="0" fontId="27" fillId="0" borderId="34" xfId="0" applyFont="1" applyBorder="1" applyAlignment="1" applyProtection="1">
      <alignment horizontal="left" vertical="center" indent="2"/>
    </xf>
    <xf numFmtId="0" fontId="27" fillId="0" borderId="44" xfId="0" applyFont="1" applyBorder="1" applyAlignment="1" applyProtection="1">
      <alignment horizontal="left" vertical="center" indent="2"/>
    </xf>
    <xf numFmtId="0" fontId="29" fillId="0" borderId="63" xfId="19" applyFont="1" applyBorder="1" applyAlignment="1">
      <alignment horizontal="center"/>
    </xf>
    <xf numFmtId="0" fontId="29" fillId="0" borderId="51" xfId="19" applyFont="1" applyBorder="1" applyAlignment="1">
      <alignment horizontal="center"/>
    </xf>
    <xf numFmtId="0" fontId="29" fillId="0" borderId="35" xfId="19" applyFont="1" applyBorder="1" applyAlignment="1">
      <alignment horizontal="center"/>
    </xf>
    <xf numFmtId="0" fontId="29" fillId="0" borderId="44" xfId="19" applyFont="1" applyBorder="1" applyAlignment="1">
      <alignment horizontal="center"/>
    </xf>
    <xf numFmtId="0" fontId="29" fillId="0" borderId="60" xfId="19" applyFont="1" applyBorder="1" applyAlignment="1">
      <alignment horizontal="center"/>
    </xf>
    <xf numFmtId="0" fontId="29" fillId="0" borderId="24" xfId="19" applyFont="1" applyBorder="1" applyAlignment="1">
      <alignment horizontal="center"/>
    </xf>
    <xf numFmtId="0" fontId="29" fillId="0" borderId="43" xfId="19" applyFont="1" applyBorder="1" applyAlignment="1">
      <alignment horizontal="center"/>
    </xf>
    <xf numFmtId="0" fontId="29" fillId="0" borderId="0" xfId="19" applyFont="1" applyBorder="1" applyAlignment="1">
      <alignment horizontal="center"/>
    </xf>
    <xf numFmtId="0" fontId="29" fillId="0" borderId="48" xfId="19" applyFont="1" applyBorder="1" applyAlignment="1">
      <alignment horizontal="center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  <xf numFmtId="0" fontId="58" fillId="0" borderId="61" xfId="19" applyFont="1" applyBorder="1" applyAlignment="1">
      <alignment horizontal="center" vertical="center" wrapText="1"/>
    </xf>
    <xf numFmtId="0" fontId="58" fillId="0" borderId="38" xfId="19" applyFont="1" applyBorder="1" applyAlignment="1">
      <alignment horizontal="center" vertical="center" wrapText="1"/>
    </xf>
    <xf numFmtId="0" fontId="58" fillId="0" borderId="59" xfId="19" applyFont="1" applyBorder="1" applyAlignment="1">
      <alignment horizontal="center" vertical="center" wrapText="1"/>
    </xf>
    <xf numFmtId="0" fontId="6" fillId="0" borderId="61" xfId="19" applyFont="1" applyBorder="1" applyAlignment="1">
      <alignment horizontal="center" vertical="center" wrapText="1"/>
    </xf>
    <xf numFmtId="0" fontId="6" fillId="0" borderId="38" xfId="19" applyFont="1" applyBorder="1" applyAlignment="1">
      <alignment horizontal="center" vertical="center" wrapText="1"/>
    </xf>
    <xf numFmtId="0" fontId="6" fillId="0" borderId="59" xfId="19" applyFont="1" applyBorder="1" applyAlignment="1">
      <alignment horizontal="center" vertical="center" wrapText="1"/>
    </xf>
    <xf numFmtId="49" fontId="43" fillId="0" borderId="0" xfId="19" applyNumberFormat="1" applyFont="1" applyAlignment="1">
      <alignment horizontal="center"/>
    </xf>
    <xf numFmtId="0" fontId="43" fillId="0" borderId="0" xfId="19" applyFont="1" applyAlignment="1">
      <alignment horizontal="center"/>
    </xf>
    <xf numFmtId="0" fontId="29" fillId="0" borderId="52" xfId="19" applyFont="1" applyBorder="1" applyAlignment="1">
      <alignment horizontal="center"/>
    </xf>
    <xf numFmtId="0" fontId="7" fillId="0" borderId="34" xfId="19" applyFont="1" applyBorder="1" applyAlignment="1">
      <alignment horizontal="right"/>
    </xf>
    <xf numFmtId="0" fontId="7" fillId="0" borderId="44" xfId="19" applyFont="1" applyBorder="1" applyAlignment="1">
      <alignment horizontal="right"/>
    </xf>
    <xf numFmtId="0" fontId="17" fillId="0" borderId="34" xfId="19" quotePrefix="1" applyFont="1" applyBorder="1" applyAlignment="1">
      <alignment horizontal="right"/>
    </xf>
    <xf numFmtId="0" fontId="17" fillId="0" borderId="44" xfId="19" quotePrefix="1" applyFont="1" applyBorder="1" applyAlignment="1">
      <alignment horizontal="right"/>
    </xf>
    <xf numFmtId="49" fontId="29" fillId="0" borderId="63" xfId="19" applyNumberFormat="1" applyFont="1" applyBorder="1" applyAlignment="1">
      <alignment horizontal="center"/>
    </xf>
    <xf numFmtId="49" fontId="29" fillId="0" borderId="51" xfId="19" applyNumberFormat="1" applyFont="1" applyBorder="1" applyAlignment="1">
      <alignment horizontal="center"/>
    </xf>
    <xf numFmtId="49" fontId="29" fillId="0" borderId="52" xfId="19" applyNumberFormat="1" applyFont="1" applyBorder="1" applyAlignment="1">
      <alignment horizontal="center"/>
    </xf>
    <xf numFmtId="0" fontId="82" fillId="0" borderId="43" xfId="19" applyFont="1" applyBorder="1" applyAlignment="1">
      <alignment horizontal="center"/>
    </xf>
    <xf numFmtId="0" fontId="82" fillId="0" borderId="0" xfId="19" applyFont="1" applyBorder="1" applyAlignment="1">
      <alignment horizontal="center"/>
    </xf>
    <xf numFmtId="0" fontId="82" fillId="0" borderId="24" xfId="19" applyFont="1" applyBorder="1" applyAlignment="1">
      <alignment horizontal="center"/>
    </xf>
    <xf numFmtId="0" fontId="82" fillId="0" borderId="45" xfId="19" applyFont="1" applyBorder="1" applyAlignment="1">
      <alignment horizontal="center"/>
    </xf>
  </cellXfs>
  <cellStyles count="31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29"/>
    <cellStyle name="Ezres 3" xfId="8"/>
    <cellStyle name="Ezres 3 2" xfId="30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view="pageLayout" zoomScaleNormal="115" zoomScaleSheetLayoutView="100" workbookViewId="0">
      <selection activeCell="C14" sqref="C14"/>
    </sheetView>
  </sheetViews>
  <sheetFormatPr defaultRowHeight="15.75" x14ac:dyDescent="0.25"/>
  <cols>
    <col min="1" max="1" width="9.5" style="186" customWidth="1"/>
    <col min="2" max="2" width="91.6640625" style="186" customWidth="1"/>
    <col min="3" max="3" width="21.6640625" style="312" customWidth="1"/>
    <col min="4" max="4" width="18" style="186" hidden="1" customWidth="1"/>
    <col min="5" max="5" width="14.5" style="186" hidden="1" customWidth="1"/>
    <col min="6" max="6" width="15.33203125" style="186" hidden="1" customWidth="1"/>
    <col min="7" max="7" width="11.1640625" style="186" hidden="1" customWidth="1"/>
    <col min="8" max="8" width="15.5" style="383" hidden="1" customWidth="1"/>
    <col min="9" max="9" width="17.83203125" style="384" hidden="1" customWidth="1"/>
    <col min="10" max="17" width="9.33203125" style="186" customWidth="1"/>
    <col min="18" max="16384" width="9.33203125" style="186"/>
  </cols>
  <sheetData>
    <row r="1" spans="1:9" ht="15.95" customHeight="1" x14ac:dyDescent="0.25">
      <c r="A1" s="1172" t="s">
        <v>16</v>
      </c>
      <c r="B1" s="1172"/>
      <c r="C1" s="1172"/>
    </row>
    <row r="2" spans="1:9" ht="15.95" customHeight="1" thickBot="1" x14ac:dyDescent="0.3">
      <c r="A2" s="1171" t="s">
        <v>124</v>
      </c>
      <c r="B2" s="1171"/>
      <c r="C2" s="131" t="s">
        <v>552</v>
      </c>
    </row>
    <row r="3" spans="1:9" ht="38.1" customHeight="1" thickBot="1" x14ac:dyDescent="0.3">
      <c r="A3" s="21" t="s">
        <v>70</v>
      </c>
      <c r="B3" s="22" t="s">
        <v>18</v>
      </c>
      <c r="C3" s="32" t="s">
        <v>603</v>
      </c>
      <c r="D3" s="186" t="s">
        <v>558</v>
      </c>
      <c r="E3" s="186" t="s">
        <v>559</v>
      </c>
      <c r="F3" s="186" t="s">
        <v>560</v>
      </c>
    </row>
    <row r="4" spans="1:9" s="198" customFormat="1" ht="12" customHeight="1" thickBot="1" x14ac:dyDescent="0.25">
      <c r="A4" s="192" t="s">
        <v>443</v>
      </c>
      <c r="B4" s="193" t="s">
        <v>444</v>
      </c>
      <c r="C4" s="194" t="s">
        <v>445</v>
      </c>
      <c r="H4" s="383"/>
      <c r="I4" s="384"/>
    </row>
    <row r="5" spans="1:9" s="199" customFormat="1" ht="12" customHeight="1" thickBot="1" x14ac:dyDescent="0.25">
      <c r="A5" s="18" t="s">
        <v>19</v>
      </c>
      <c r="B5" s="19" t="s">
        <v>184</v>
      </c>
      <c r="C5" s="122">
        <f t="shared" ref="C5:C36" si="0">SUM(D5:F5)</f>
        <v>1324135065</v>
      </c>
      <c r="D5" s="281">
        <f>+D6+D7+D8+D9+D10+D11</f>
        <v>1324135065</v>
      </c>
      <c r="E5" s="122">
        <f>+E6+E7+E8+E9+E10+E11</f>
        <v>0</v>
      </c>
      <c r="F5" s="122">
        <f>+F6+F7+F8+F9+F10+F11</f>
        <v>0</v>
      </c>
      <c r="H5" s="385" t="e">
        <f>'1.2.sz.mell. '!C5+'1.3.sz.mell.'!C5+#REF!+#REF!</f>
        <v>#REF!</v>
      </c>
      <c r="I5" s="385" t="e">
        <f t="shared" ref="I5:I36" si="1">C5-H5</f>
        <v>#REF!</v>
      </c>
    </row>
    <row r="6" spans="1:9" s="199" customFormat="1" ht="12" customHeight="1" thickBot="1" x14ac:dyDescent="0.25">
      <c r="A6" s="13" t="s">
        <v>95</v>
      </c>
      <c r="B6" s="200" t="s">
        <v>185</v>
      </c>
      <c r="C6" s="1109">
        <f t="shared" si="0"/>
        <v>218098142</v>
      </c>
      <c r="D6" s="238">
        <f>211161846+4226000+4709893-1999597</f>
        <v>218098142</v>
      </c>
      <c r="E6" s="238"/>
      <c r="F6" s="238"/>
      <c r="H6" s="385" t="e">
        <f>'1.2.sz.mell. '!C6+'1.3.sz.mell.'!C6+#REF!+#REF!</f>
        <v>#REF!</v>
      </c>
      <c r="I6" s="386" t="e">
        <f t="shared" si="1"/>
        <v>#REF!</v>
      </c>
    </row>
    <row r="7" spans="1:9" s="199" customFormat="1" ht="12" customHeight="1" thickBot="1" x14ac:dyDescent="0.25">
      <c r="A7" s="12" t="s">
        <v>96</v>
      </c>
      <c r="B7" s="201" t="s">
        <v>186</v>
      </c>
      <c r="C7" s="921">
        <f t="shared" si="0"/>
        <v>238466411</v>
      </c>
      <c r="D7" s="126">
        <f>235351616+4095000+670926-1651131</f>
        <v>238466411</v>
      </c>
      <c r="E7" s="126"/>
      <c r="F7" s="126"/>
      <c r="H7" s="385" t="e">
        <f>'1.2.sz.mell. '!C7+'1.3.sz.mell.'!C7+#REF!+#REF!</f>
        <v>#REF!</v>
      </c>
      <c r="I7" s="387" t="e">
        <f t="shared" si="1"/>
        <v>#REF!</v>
      </c>
    </row>
    <row r="8" spans="1:9" s="199" customFormat="1" ht="12" customHeight="1" thickBot="1" x14ac:dyDescent="0.25">
      <c r="A8" s="12" t="s">
        <v>97</v>
      </c>
      <c r="B8" s="201" t="s">
        <v>544</v>
      </c>
      <c r="C8" s="921">
        <f t="shared" si="0"/>
        <v>784493453</v>
      </c>
      <c r="D8" s="126">
        <f>132342947+82528441+152850000+191583306+50232560+61299400+1796961+73694436+47948000-1357436-8425162</f>
        <v>784493453</v>
      </c>
      <c r="E8" s="126"/>
      <c r="F8" s="126"/>
      <c r="H8" s="385" t="e">
        <f>'1.2.sz.mell. '!C8+'1.3.sz.mell.'!C8+#REF!+#REF!</f>
        <v>#REF!</v>
      </c>
      <c r="I8" s="387" t="e">
        <f t="shared" si="1"/>
        <v>#REF!</v>
      </c>
    </row>
    <row r="9" spans="1:9" s="199" customFormat="1" ht="12" customHeight="1" thickBot="1" x14ac:dyDescent="0.25">
      <c r="A9" s="12" t="s">
        <v>98</v>
      </c>
      <c r="B9" s="201" t="s">
        <v>188</v>
      </c>
      <c r="C9" s="921">
        <f t="shared" si="0"/>
        <v>34753573</v>
      </c>
      <c r="D9" s="126">
        <f>4617241+15998620+12622000+1404000+542000-430288</f>
        <v>34753573</v>
      </c>
      <c r="E9" s="126"/>
      <c r="F9" s="126"/>
      <c r="H9" s="385" t="e">
        <f>'1.2.sz.mell. '!C9+'1.3.sz.mell.'!C9+#REF!+#REF!</f>
        <v>#REF!</v>
      </c>
      <c r="I9" s="387" t="e">
        <f t="shared" si="1"/>
        <v>#REF!</v>
      </c>
    </row>
    <row r="10" spans="1:9" s="199" customFormat="1" ht="12" customHeight="1" thickBot="1" x14ac:dyDescent="0.25">
      <c r="A10" s="12" t="s">
        <v>121</v>
      </c>
      <c r="B10" s="118" t="s">
        <v>446</v>
      </c>
      <c r="C10" s="921">
        <f t="shared" si="0"/>
        <v>48323486</v>
      </c>
      <c r="D10" s="126">
        <f>29417493+205313443-7600335+9625137-53811000-4359893-130261359</f>
        <v>48323486</v>
      </c>
      <c r="E10" s="126"/>
      <c r="F10" s="126"/>
      <c r="H10" s="385" t="e">
        <f>'1.2.sz.mell. '!C10+'1.3.sz.mell.'!C10+#REF!+#REF!</f>
        <v>#REF!</v>
      </c>
      <c r="I10" s="387" t="e">
        <f t="shared" si="1"/>
        <v>#REF!</v>
      </c>
    </row>
    <row r="11" spans="1:9" s="199" customFormat="1" ht="12" customHeight="1" thickBot="1" x14ac:dyDescent="0.25">
      <c r="A11" s="14" t="s">
        <v>99</v>
      </c>
      <c r="B11" s="119" t="s">
        <v>447</v>
      </c>
      <c r="C11" s="1110">
        <f t="shared" si="0"/>
        <v>0</v>
      </c>
      <c r="D11" s="111"/>
      <c r="E11" s="123"/>
      <c r="F11" s="123"/>
      <c r="H11" s="385" t="e">
        <f>'1.2.sz.mell. '!C11+'1.3.sz.mell.'!C11+#REF!+#REF!</f>
        <v>#REF!</v>
      </c>
      <c r="I11" s="388" t="e">
        <f t="shared" si="1"/>
        <v>#REF!</v>
      </c>
    </row>
    <row r="12" spans="1:9" s="199" customFormat="1" ht="12" customHeight="1" thickBot="1" x14ac:dyDescent="0.25">
      <c r="A12" s="18" t="s">
        <v>20</v>
      </c>
      <c r="B12" s="117" t="s">
        <v>189</v>
      </c>
      <c r="C12" s="122">
        <f t="shared" si="0"/>
        <v>372963545</v>
      </c>
      <c r="D12" s="281">
        <f>+D13+D14+D15+D16+D17</f>
        <v>348810452</v>
      </c>
      <c r="E12" s="122">
        <f>+E13+E14+E15+E16+E17</f>
        <v>0</v>
      </c>
      <c r="F12" s="122">
        <f>+F13+F14+F15+F16+F17</f>
        <v>24153093</v>
      </c>
      <c r="H12" s="385" t="e">
        <f>'1.2.sz.mell. '!C12+'1.3.sz.mell.'!C12+#REF!+#REF!</f>
        <v>#REF!</v>
      </c>
      <c r="I12" s="385" t="e">
        <f t="shared" si="1"/>
        <v>#REF!</v>
      </c>
    </row>
    <row r="13" spans="1:9" s="199" customFormat="1" ht="12" customHeight="1" thickBot="1" x14ac:dyDescent="0.25">
      <c r="A13" s="13" t="s">
        <v>101</v>
      </c>
      <c r="B13" s="200" t="s">
        <v>190</v>
      </c>
      <c r="C13" s="479">
        <f t="shared" si="0"/>
        <v>0</v>
      </c>
      <c r="D13" s="283"/>
      <c r="E13" s="124"/>
      <c r="F13" s="124"/>
      <c r="H13" s="385" t="e">
        <f>'1.2.sz.mell. '!C13+'1.3.sz.mell.'!C13+#REF!+#REF!</f>
        <v>#REF!</v>
      </c>
      <c r="I13" s="386" t="e">
        <f t="shared" si="1"/>
        <v>#REF!</v>
      </c>
    </row>
    <row r="14" spans="1:9" s="199" customFormat="1" ht="12" customHeight="1" thickBot="1" x14ac:dyDescent="0.25">
      <c r="A14" s="12" t="s">
        <v>102</v>
      </c>
      <c r="B14" s="201" t="s">
        <v>191</v>
      </c>
      <c r="C14" s="305">
        <f t="shared" si="0"/>
        <v>0</v>
      </c>
      <c r="D14" s="111"/>
      <c r="E14" s="123"/>
      <c r="F14" s="123"/>
      <c r="H14" s="385" t="e">
        <f>'1.2.sz.mell. '!C14+'1.3.sz.mell.'!C14+#REF!+#REF!</f>
        <v>#REF!</v>
      </c>
      <c r="I14" s="387" t="e">
        <f t="shared" si="1"/>
        <v>#REF!</v>
      </c>
    </row>
    <row r="15" spans="1:9" s="199" customFormat="1" ht="12" customHeight="1" thickBot="1" x14ac:dyDescent="0.25">
      <c r="A15" s="12" t="s">
        <v>103</v>
      </c>
      <c r="B15" s="201" t="s">
        <v>359</v>
      </c>
      <c r="C15" s="305">
        <f t="shared" si="0"/>
        <v>0</v>
      </c>
      <c r="D15" s="111"/>
      <c r="E15" s="123"/>
      <c r="F15" s="123"/>
      <c r="H15" s="385" t="e">
        <f>'1.2.sz.mell. '!C15+'1.3.sz.mell.'!C15+#REF!+#REF!</f>
        <v>#REF!</v>
      </c>
      <c r="I15" s="387" t="e">
        <f t="shared" si="1"/>
        <v>#REF!</v>
      </c>
    </row>
    <row r="16" spans="1:9" s="199" customFormat="1" ht="12" customHeight="1" thickBot="1" x14ac:dyDescent="0.25">
      <c r="A16" s="12" t="s">
        <v>104</v>
      </c>
      <c r="B16" s="201" t="s">
        <v>360</v>
      </c>
      <c r="C16" s="305">
        <f t="shared" si="0"/>
        <v>0</v>
      </c>
      <c r="D16" s="111"/>
      <c r="E16" s="123"/>
      <c r="F16" s="123"/>
      <c r="H16" s="385" t="e">
        <f>'1.2.sz.mell. '!C16+'1.3.sz.mell.'!C16+#REF!+#REF!</f>
        <v>#REF!</v>
      </c>
      <c r="I16" s="387" t="e">
        <f t="shared" si="1"/>
        <v>#REF!</v>
      </c>
    </row>
    <row r="17" spans="1:9" s="199" customFormat="1" ht="12" customHeight="1" thickBot="1" x14ac:dyDescent="0.25">
      <c r="A17" s="12" t="s">
        <v>105</v>
      </c>
      <c r="B17" s="201" t="s">
        <v>192</v>
      </c>
      <c r="C17" s="921">
        <f t="shared" si="0"/>
        <v>372963545</v>
      </c>
      <c r="D17" s="265">
        <f>102792540+24250000+3975280+5670000+67037993+5709268+6246596+1659858+5441280+123766902+17088300+3997695+106479-23923937-29680+5021878</f>
        <v>348810452</v>
      </c>
      <c r="E17" s="126"/>
      <c r="F17" s="126">
        <f>22754943+1398150</f>
        <v>24153093</v>
      </c>
      <c r="H17" s="385" t="e">
        <f>'1.2.sz.mell. '!C17+'1.3.sz.mell.'!C17+#REF!+#REF!</f>
        <v>#REF!</v>
      </c>
      <c r="I17" s="387" t="e">
        <f t="shared" si="1"/>
        <v>#REF!</v>
      </c>
    </row>
    <row r="18" spans="1:9" s="199" customFormat="1" ht="12" customHeight="1" thickBot="1" x14ac:dyDescent="0.25">
      <c r="A18" s="14" t="s">
        <v>114</v>
      </c>
      <c r="B18" s="119" t="s">
        <v>193</v>
      </c>
      <c r="C18" s="1110">
        <f t="shared" si="0"/>
        <v>227173142</v>
      </c>
      <c r="D18" s="269">
        <f>67037993+2824075+3262350+134644902+1659858+15905400-314529</f>
        <v>225020049</v>
      </c>
      <c r="E18" s="189"/>
      <c r="F18" s="189">
        <f>754943+1398150</f>
        <v>2153093</v>
      </c>
      <c r="H18" s="385" t="e">
        <f>'1.2.sz.mell. '!C18+'1.3.sz.mell.'!C18+#REF!+#REF!</f>
        <v>#REF!</v>
      </c>
      <c r="I18" s="388" t="e">
        <f t="shared" si="1"/>
        <v>#REF!</v>
      </c>
    </row>
    <row r="19" spans="1:9" s="199" customFormat="1" ht="12" customHeight="1" thickBot="1" x14ac:dyDescent="0.25">
      <c r="A19" s="18" t="s">
        <v>21</v>
      </c>
      <c r="B19" s="19" t="s">
        <v>194</v>
      </c>
      <c r="C19" s="122">
        <f t="shared" si="0"/>
        <v>1078270150</v>
      </c>
      <c r="D19" s="281">
        <f>+D20+D21+D22+D23+D24</f>
        <v>1078270150</v>
      </c>
      <c r="E19" s="122">
        <f>+E20+E21+E22+E23+E24</f>
        <v>0</v>
      </c>
      <c r="F19" s="122">
        <f>+F20+F21+F22+F23+F24</f>
        <v>0</v>
      </c>
      <c r="H19" s="385" t="e">
        <f>'1.2.sz.mell. '!C19+'1.3.sz.mell.'!C19+#REF!+#REF!</f>
        <v>#REF!</v>
      </c>
      <c r="I19" s="385" t="e">
        <f t="shared" si="1"/>
        <v>#REF!</v>
      </c>
    </row>
    <row r="20" spans="1:9" s="199" customFormat="1" ht="12" customHeight="1" thickBot="1" x14ac:dyDescent="0.25">
      <c r="A20" s="13" t="s">
        <v>84</v>
      </c>
      <c r="B20" s="200" t="s">
        <v>195</v>
      </c>
      <c r="C20" s="1109">
        <f t="shared" si="0"/>
        <v>370138900</v>
      </c>
      <c r="D20" s="285">
        <f>369999900+139000</f>
        <v>370138900</v>
      </c>
      <c r="E20" s="549"/>
      <c r="F20" s="549"/>
      <c r="H20" s="385" t="e">
        <f>'1.2.sz.mell. '!C20+'1.3.sz.mell.'!C20+#REF!+#REF!</f>
        <v>#REF!</v>
      </c>
      <c r="I20" s="386" t="e">
        <f t="shared" si="1"/>
        <v>#REF!</v>
      </c>
    </row>
    <row r="21" spans="1:9" s="199" customFormat="1" ht="12" customHeight="1" thickBot="1" x14ac:dyDescent="0.25">
      <c r="A21" s="12" t="s">
        <v>85</v>
      </c>
      <c r="B21" s="201" t="s">
        <v>196</v>
      </c>
      <c r="C21" s="482">
        <f t="shared" si="0"/>
        <v>0</v>
      </c>
      <c r="D21" s="265"/>
      <c r="E21" s="126"/>
      <c r="F21" s="126"/>
      <c r="H21" s="385" t="e">
        <f>'1.2.sz.mell. '!C21+'1.3.sz.mell.'!C21+#REF!+#REF!</f>
        <v>#REF!</v>
      </c>
      <c r="I21" s="387" t="e">
        <f t="shared" si="1"/>
        <v>#REF!</v>
      </c>
    </row>
    <row r="22" spans="1:9" s="199" customFormat="1" ht="12" customHeight="1" thickBot="1" x14ac:dyDescent="0.25">
      <c r="A22" s="12" t="s">
        <v>86</v>
      </c>
      <c r="B22" s="201" t="s">
        <v>361</v>
      </c>
      <c r="C22" s="305">
        <f t="shared" si="0"/>
        <v>0</v>
      </c>
      <c r="D22" s="265"/>
      <c r="E22" s="126"/>
      <c r="F22" s="126"/>
      <c r="H22" s="385" t="e">
        <f>'1.2.sz.mell. '!C22+'1.3.sz.mell.'!C22+#REF!+#REF!</f>
        <v>#REF!</v>
      </c>
      <c r="I22" s="387" t="e">
        <f t="shared" si="1"/>
        <v>#REF!</v>
      </c>
    </row>
    <row r="23" spans="1:9" s="199" customFormat="1" ht="12" customHeight="1" thickBot="1" x14ac:dyDescent="0.25">
      <c r="A23" s="12" t="s">
        <v>87</v>
      </c>
      <c r="B23" s="201" t="s">
        <v>362</v>
      </c>
      <c r="C23" s="305">
        <f t="shared" si="0"/>
        <v>0</v>
      </c>
      <c r="D23" s="265"/>
      <c r="E23" s="126"/>
      <c r="F23" s="126"/>
      <c r="H23" s="385" t="e">
        <f>'1.2.sz.mell. '!C23+'1.3.sz.mell.'!C23+#REF!+#REF!</f>
        <v>#REF!</v>
      </c>
      <c r="I23" s="387" t="e">
        <f t="shared" si="1"/>
        <v>#REF!</v>
      </c>
    </row>
    <row r="24" spans="1:9" s="199" customFormat="1" ht="12" customHeight="1" thickBot="1" x14ac:dyDescent="0.25">
      <c r="A24" s="12" t="s">
        <v>132</v>
      </c>
      <c r="B24" s="201" t="s">
        <v>197</v>
      </c>
      <c r="C24" s="917">
        <f t="shared" si="0"/>
        <v>708131250</v>
      </c>
      <c r="D24" s="265">
        <f>5596040+25377271+3487179+47949076+82875000+384485538+158361146</f>
        <v>708131250</v>
      </c>
      <c r="E24" s="126"/>
      <c r="F24" s="126"/>
      <c r="H24" s="385" t="e">
        <f>'1.2.sz.mell. '!C24+'1.3.sz.mell.'!C24+#REF!+#REF!</f>
        <v>#REF!</v>
      </c>
      <c r="I24" s="387" t="e">
        <f t="shared" si="1"/>
        <v>#REF!</v>
      </c>
    </row>
    <row r="25" spans="1:9" s="199" customFormat="1" ht="12" customHeight="1" thickBot="1" x14ac:dyDescent="0.25">
      <c r="A25" s="14" t="s">
        <v>133</v>
      </c>
      <c r="B25" s="202" t="s">
        <v>198</v>
      </c>
      <c r="C25" s="920">
        <f t="shared" si="0"/>
        <v>694206350</v>
      </c>
      <c r="D25" s="269">
        <f>5596040+25377271+3487179+47949076+82875000+370160338+1092200+157669246</f>
        <v>694206350</v>
      </c>
      <c r="E25" s="189"/>
      <c r="F25" s="189"/>
      <c r="H25" s="385" t="e">
        <f>'1.2.sz.mell. '!C25+'1.3.sz.mell.'!C25+#REF!+#REF!</f>
        <v>#REF!</v>
      </c>
      <c r="I25" s="388" t="e">
        <f t="shared" si="1"/>
        <v>#REF!</v>
      </c>
    </row>
    <row r="26" spans="1:9" s="199" customFormat="1" ht="12" customHeight="1" thickBot="1" x14ac:dyDescent="0.25">
      <c r="A26" s="18" t="s">
        <v>134</v>
      </c>
      <c r="B26" s="19" t="s">
        <v>620</v>
      </c>
      <c r="C26" s="122">
        <f t="shared" si="0"/>
        <v>482500000</v>
      </c>
      <c r="D26" s="284">
        <f>+D27+D31+D32+D33</f>
        <v>482500000</v>
      </c>
      <c r="E26" s="127">
        <f>+E27+E31+E32+E33</f>
        <v>0</v>
      </c>
      <c r="F26" s="127">
        <f>+F27+F31+F32+F33</f>
        <v>0</v>
      </c>
      <c r="H26" s="385" t="e">
        <f>'1.2.sz.mell. '!C26+'1.3.sz.mell.'!C26+#REF!+#REF!</f>
        <v>#REF!</v>
      </c>
      <c r="I26" s="385" t="e">
        <f t="shared" si="1"/>
        <v>#REF!</v>
      </c>
    </row>
    <row r="27" spans="1:9" s="199" customFormat="1" ht="12" customHeight="1" thickBot="1" x14ac:dyDescent="0.25">
      <c r="A27" s="13" t="s">
        <v>200</v>
      </c>
      <c r="B27" s="200" t="s">
        <v>602</v>
      </c>
      <c r="C27" s="479">
        <f t="shared" si="0"/>
        <v>430000000</v>
      </c>
      <c r="D27" s="299">
        <f>SUM(D28:D29)</f>
        <v>430000000</v>
      </c>
      <c r="E27" s="299">
        <f t="shared" ref="E27" si="2">SUM(E28:E29)</f>
        <v>0</v>
      </c>
      <c r="F27" s="299">
        <f t="shared" ref="F27" si="3">SUM(F28:F29)</f>
        <v>0</v>
      </c>
      <c r="H27" s="385" t="e">
        <f>'1.2.sz.mell. '!C27+'1.3.sz.mell.'!C27+#REF!+#REF!</f>
        <v>#REF!</v>
      </c>
      <c r="I27" s="386" t="e">
        <f t="shared" si="1"/>
        <v>#REF!</v>
      </c>
    </row>
    <row r="28" spans="1:9" s="199" customFormat="1" ht="12" customHeight="1" thickBot="1" x14ac:dyDescent="0.25">
      <c r="A28" s="12" t="s">
        <v>201</v>
      </c>
      <c r="B28" s="201" t="s">
        <v>206</v>
      </c>
      <c r="C28" s="305">
        <f t="shared" si="0"/>
        <v>89000000</v>
      </c>
      <c r="D28" s="111">
        <f>80000000+9000000</f>
        <v>89000000</v>
      </c>
      <c r="E28" s="123"/>
      <c r="F28" s="123"/>
      <c r="H28" s="385" t="e">
        <f>'1.2.sz.mell. '!C28+'1.3.sz.mell.'!C28+#REF!+#REF!</f>
        <v>#REF!</v>
      </c>
      <c r="I28" s="387" t="e">
        <f t="shared" si="1"/>
        <v>#REF!</v>
      </c>
    </row>
    <row r="29" spans="1:9" s="199" customFormat="1" ht="12" customHeight="1" thickBot="1" x14ac:dyDescent="0.25">
      <c r="A29" s="12" t="s">
        <v>202</v>
      </c>
      <c r="B29" s="248" t="s">
        <v>601</v>
      </c>
      <c r="C29" s="304">
        <f t="shared" si="0"/>
        <v>341000000</v>
      </c>
      <c r="D29" s="111">
        <f>341000000</f>
        <v>341000000</v>
      </c>
      <c r="E29" s="123"/>
      <c r="F29" s="123"/>
      <c r="H29" s="385" t="e">
        <f>'1.2.sz.mell. '!C29+'1.3.sz.mell.'!C29+#REF!+#REF!</f>
        <v>#REF!</v>
      </c>
      <c r="I29" s="387" t="e">
        <f t="shared" si="1"/>
        <v>#REF!</v>
      </c>
    </row>
    <row r="30" spans="1:9" s="199" customFormat="1" ht="12" customHeight="1" thickBot="1" x14ac:dyDescent="0.25">
      <c r="A30" s="12" t="s">
        <v>203</v>
      </c>
      <c r="B30" s="201" t="s">
        <v>534</v>
      </c>
      <c r="C30" s="304">
        <f t="shared" si="0"/>
        <v>0</v>
      </c>
      <c r="D30" s="265"/>
      <c r="E30" s="126"/>
      <c r="F30" s="126"/>
      <c r="H30" s="385" t="e">
        <f>'1.2.sz.mell. '!C30+'1.3.sz.mell.'!C30+#REF!+#REF!</f>
        <v>#REF!</v>
      </c>
      <c r="I30" s="387" t="e">
        <f t="shared" si="1"/>
        <v>#REF!</v>
      </c>
    </row>
    <row r="31" spans="1:9" s="199" customFormat="1" ht="12" customHeight="1" thickBot="1" x14ac:dyDescent="0.25">
      <c r="A31" s="12" t="s">
        <v>535</v>
      </c>
      <c r="B31" s="201" t="s">
        <v>207</v>
      </c>
      <c r="C31" s="304">
        <f t="shared" si="0"/>
        <v>35000000</v>
      </c>
      <c r="D31" s="111">
        <f>35000000</f>
        <v>35000000</v>
      </c>
      <c r="E31" s="123"/>
      <c r="F31" s="123"/>
      <c r="H31" s="385" t="e">
        <f>'1.2.sz.mell. '!C31+'1.3.sz.mell.'!C31+#REF!+#REF!</f>
        <v>#REF!</v>
      </c>
      <c r="I31" s="387" t="e">
        <f t="shared" si="1"/>
        <v>#REF!</v>
      </c>
    </row>
    <row r="32" spans="1:9" s="199" customFormat="1" ht="12" customHeight="1" thickBot="1" x14ac:dyDescent="0.25">
      <c r="A32" s="12" t="s">
        <v>205</v>
      </c>
      <c r="B32" s="201" t="s">
        <v>208</v>
      </c>
      <c r="C32" s="304">
        <f t="shared" si="0"/>
        <v>1000000</v>
      </c>
      <c r="D32" s="111">
        <f>1000000</f>
        <v>1000000</v>
      </c>
      <c r="E32" s="123"/>
      <c r="F32" s="123"/>
      <c r="H32" s="385" t="e">
        <f>'1.2.sz.mell. '!C32+'1.3.sz.mell.'!C32+#REF!+#REF!</f>
        <v>#REF!</v>
      </c>
      <c r="I32" s="387" t="e">
        <f t="shared" si="1"/>
        <v>#REF!</v>
      </c>
    </row>
    <row r="33" spans="1:9" s="199" customFormat="1" ht="12" customHeight="1" thickBot="1" x14ac:dyDescent="0.25">
      <c r="A33" s="14" t="s">
        <v>536</v>
      </c>
      <c r="B33" s="202" t="s">
        <v>209</v>
      </c>
      <c r="C33" s="480">
        <f t="shared" si="0"/>
        <v>16500000</v>
      </c>
      <c r="D33" s="269">
        <f>6000000+4000000+2500000+500000+3500000</f>
        <v>16500000</v>
      </c>
      <c r="E33" s="189"/>
      <c r="F33" s="189"/>
      <c r="H33" s="385" t="e">
        <f>'1.2.sz.mell. '!C33+'1.3.sz.mell.'!C33+#REF!+#REF!</f>
        <v>#REF!</v>
      </c>
      <c r="I33" s="388" t="e">
        <f t="shared" si="1"/>
        <v>#REF!</v>
      </c>
    </row>
    <row r="34" spans="1:9" s="199" customFormat="1" ht="12" customHeight="1" thickBot="1" x14ac:dyDescent="0.25">
      <c r="A34" s="18" t="s">
        <v>23</v>
      </c>
      <c r="B34" s="19" t="s">
        <v>448</v>
      </c>
      <c r="C34" s="122">
        <f t="shared" si="0"/>
        <v>360439284</v>
      </c>
      <c r="D34" s="281">
        <f>SUM(D35:D45)</f>
        <v>86136484</v>
      </c>
      <c r="E34" s="122">
        <f>SUM(E35:E45)</f>
        <v>8150828</v>
      </c>
      <c r="F34" s="122">
        <f>SUM(F35:F45)</f>
        <v>266151972</v>
      </c>
      <c r="H34" s="385" t="e">
        <f>'1.2.sz.mell. '!C34+'1.3.sz.mell.'!C34+#REF!+#REF!</f>
        <v>#REF!</v>
      </c>
      <c r="I34" s="385" t="e">
        <f t="shared" si="1"/>
        <v>#REF!</v>
      </c>
    </row>
    <row r="35" spans="1:9" s="199" customFormat="1" ht="12" customHeight="1" thickBot="1" x14ac:dyDescent="0.25">
      <c r="A35" s="13" t="s">
        <v>88</v>
      </c>
      <c r="B35" s="200" t="s">
        <v>212</v>
      </c>
      <c r="C35" s="919">
        <f t="shared" si="0"/>
        <v>17923606</v>
      </c>
      <c r="D35" s="285">
        <f>7385026+10000+10375680+132900</f>
        <v>17903606</v>
      </c>
      <c r="E35" s="238"/>
      <c r="F35" s="238">
        <v>20000</v>
      </c>
      <c r="H35" s="385" t="e">
        <f>'1.2.sz.mell. '!C35+'1.3.sz.mell.'!C35+#REF!+#REF!</f>
        <v>#REF!</v>
      </c>
      <c r="I35" s="386" t="e">
        <f t="shared" si="1"/>
        <v>#REF!</v>
      </c>
    </row>
    <row r="36" spans="1:9" s="199" customFormat="1" ht="12.75" customHeight="1" thickBot="1" x14ac:dyDescent="0.25">
      <c r="A36" s="12" t="s">
        <v>89</v>
      </c>
      <c r="B36" s="201" t="s">
        <v>213</v>
      </c>
      <c r="C36" s="924">
        <f t="shared" si="0"/>
        <v>80676792</v>
      </c>
      <c r="D36" s="265">
        <f>15901900+787402+500000+101992+381986+1334000+744361+96000-16879</f>
        <v>19830762</v>
      </c>
      <c r="E36" s="126">
        <f>4000000+1241400+372638</f>
        <v>5614038</v>
      </c>
      <c r="F36" s="238">
        <f>32107480+8820000+616000+13688512</f>
        <v>55231992</v>
      </c>
      <c r="H36" s="385" t="e">
        <f>'1.2.sz.mell. '!C36+'1.3.sz.mell.'!C36+#REF!+#REF!</f>
        <v>#REF!</v>
      </c>
      <c r="I36" s="387" t="e">
        <f t="shared" si="1"/>
        <v>#REF!</v>
      </c>
    </row>
    <row r="37" spans="1:9" s="199" customFormat="1" ht="12" customHeight="1" thickBot="1" x14ac:dyDescent="0.25">
      <c r="A37" s="12" t="s">
        <v>90</v>
      </c>
      <c r="B37" s="201" t="s">
        <v>214</v>
      </c>
      <c r="C37" s="921">
        <f t="shared" ref="C37:C68" si="4">SUM(D37:F37)</f>
        <v>23955683</v>
      </c>
      <c r="D37" s="265">
        <f>20000+6000000+700000+1000000+1109692+340000+6350+105219-6350+5000+762000+77772-5000000</f>
        <v>5119683</v>
      </c>
      <c r="E37" s="126">
        <f>300000</f>
        <v>300000</v>
      </c>
      <c r="F37" s="238">
        <f>1586000+50000+4200000+12700000</f>
        <v>18536000</v>
      </c>
      <c r="H37" s="385" t="e">
        <f>'1.2.sz.mell. '!C37+'1.3.sz.mell.'!C37+#REF!+#REF!</f>
        <v>#REF!</v>
      </c>
      <c r="I37" s="387" t="e">
        <f t="shared" ref="I37:I68" si="5">C37-H37</f>
        <v>#REF!</v>
      </c>
    </row>
    <row r="38" spans="1:9" s="199" customFormat="1" ht="12" customHeight="1" thickBot="1" x14ac:dyDescent="0.25">
      <c r="A38" s="12" t="s">
        <v>136</v>
      </c>
      <c r="B38" s="201" t="s">
        <v>215</v>
      </c>
      <c r="C38" s="924">
        <f t="shared" si="4"/>
        <v>740000</v>
      </c>
      <c r="D38" s="265">
        <f>440000+300000+144667-144667</f>
        <v>740000</v>
      </c>
      <c r="E38" s="126"/>
      <c r="F38" s="238"/>
      <c r="H38" s="385" t="e">
        <f>'1.2.sz.mell. '!C38+'1.3.sz.mell.'!C38+#REF!+#REF!</f>
        <v>#REF!</v>
      </c>
      <c r="I38" s="387" t="e">
        <f t="shared" si="5"/>
        <v>#REF!</v>
      </c>
    </row>
    <row r="39" spans="1:9" s="199" customFormat="1" ht="12" customHeight="1" thickBot="1" x14ac:dyDescent="0.25">
      <c r="A39" s="12" t="s">
        <v>137</v>
      </c>
      <c r="B39" s="201" t="s">
        <v>216</v>
      </c>
      <c r="C39" s="921">
        <f>SUM(D39:F39)</f>
        <v>176547721</v>
      </c>
      <c r="D39" s="265">
        <f>13816000-8875000</f>
        <v>4941000</v>
      </c>
      <c r="E39" s="126"/>
      <c r="F39" s="238">
        <f>17535396+708995+862330+152500000</f>
        <v>171606721</v>
      </c>
      <c r="H39" s="385" t="e">
        <f>'1.2.sz.mell. '!C39+'1.3.sz.mell.'!C39+#REF!+#REF!</f>
        <v>#REF!</v>
      </c>
      <c r="I39" s="387" t="e">
        <f t="shared" si="5"/>
        <v>#REF!</v>
      </c>
    </row>
    <row r="40" spans="1:9" s="199" customFormat="1" ht="12" customHeight="1" thickBot="1" x14ac:dyDescent="0.25">
      <c r="A40" s="12" t="s">
        <v>138</v>
      </c>
      <c r="B40" s="201" t="s">
        <v>217</v>
      </c>
      <c r="C40" s="921">
        <f t="shared" si="4"/>
        <v>30391342</v>
      </c>
      <c r="D40" s="265">
        <f>5400+1993957+12052638+212598+189000+2801434+333450+135000+27538+82819+14693+1350+200974-4556+20998-1596000</f>
        <v>16471293</v>
      </c>
      <c r="E40" s="126">
        <f>1161000+335178+100612</f>
        <v>1596790</v>
      </c>
      <c r="F40" s="238">
        <f>4914377+191429+869400+1533149+4814904</f>
        <v>12323259</v>
      </c>
      <c r="H40" s="385" t="e">
        <f>'1.2.sz.mell. '!C40+'1.3.sz.mell.'!C40+#REF!+#REF!</f>
        <v>#REF!</v>
      </c>
      <c r="I40" s="387" t="e">
        <f t="shared" si="5"/>
        <v>#REF!</v>
      </c>
    </row>
    <row r="41" spans="1:9" s="199" customFormat="1" ht="12" customHeight="1" thickBot="1" x14ac:dyDescent="0.25">
      <c r="A41" s="12" t="s">
        <v>139</v>
      </c>
      <c r="B41" s="201" t="s">
        <v>218</v>
      </c>
      <c r="C41" s="305">
        <f t="shared" si="4"/>
        <v>8433000</v>
      </c>
      <c r="D41" s="265"/>
      <c r="E41" s="126"/>
      <c r="F41" s="238">
        <f>7614000+650000+169000</f>
        <v>8433000</v>
      </c>
      <c r="H41" s="385" t="e">
        <f>'1.2.sz.mell. '!C41+'1.3.sz.mell.'!C41+#REF!+#REF!</f>
        <v>#REF!</v>
      </c>
      <c r="I41" s="387" t="e">
        <f t="shared" si="5"/>
        <v>#REF!</v>
      </c>
    </row>
    <row r="42" spans="1:9" s="199" customFormat="1" ht="12" customHeight="1" thickBot="1" x14ac:dyDescent="0.25">
      <c r="A42" s="12" t="s">
        <v>140</v>
      </c>
      <c r="B42" s="201" t="s">
        <v>541</v>
      </c>
      <c r="C42" s="305">
        <f t="shared" si="4"/>
        <v>0</v>
      </c>
      <c r="D42" s="265"/>
      <c r="E42" s="126"/>
      <c r="F42" s="238"/>
      <c r="H42" s="385" t="e">
        <f>'1.2.sz.mell. '!C42+'1.3.sz.mell.'!C42+#REF!+#REF!</f>
        <v>#REF!</v>
      </c>
      <c r="I42" s="387" t="e">
        <f t="shared" si="5"/>
        <v>#REF!</v>
      </c>
    </row>
    <row r="43" spans="1:9" s="199" customFormat="1" ht="12" customHeight="1" thickBot="1" x14ac:dyDescent="0.25">
      <c r="A43" s="12" t="s">
        <v>210</v>
      </c>
      <c r="B43" s="201" t="s">
        <v>220</v>
      </c>
      <c r="C43" s="305">
        <f t="shared" si="4"/>
        <v>0</v>
      </c>
      <c r="D43" s="265"/>
      <c r="E43" s="126"/>
      <c r="F43" s="238"/>
      <c r="H43" s="385" t="e">
        <f>'1.2.sz.mell. '!C43+'1.3.sz.mell.'!C43+#REF!+#REF!</f>
        <v>#REF!</v>
      </c>
      <c r="I43" s="387" t="e">
        <f t="shared" si="5"/>
        <v>#REF!</v>
      </c>
    </row>
    <row r="44" spans="1:9" s="199" customFormat="1" ht="12" customHeight="1" thickBot="1" x14ac:dyDescent="0.25">
      <c r="A44" s="14" t="s">
        <v>211</v>
      </c>
      <c r="B44" s="202" t="s">
        <v>449</v>
      </c>
      <c r="C44" s="305">
        <f t="shared" si="4"/>
        <v>500000</v>
      </c>
      <c r="D44" s="269">
        <f>500000</f>
        <v>500000</v>
      </c>
      <c r="E44" s="189"/>
      <c r="F44" s="238"/>
      <c r="H44" s="385" t="e">
        <f>'1.2.sz.mell. '!C44+'1.3.sz.mell.'!C44+#REF!+#REF!</f>
        <v>#REF!</v>
      </c>
      <c r="I44" s="387" t="e">
        <f t="shared" si="5"/>
        <v>#REF!</v>
      </c>
    </row>
    <row r="45" spans="1:9" s="199" customFormat="1" ht="12" customHeight="1" thickBot="1" x14ac:dyDescent="0.25">
      <c r="A45" s="14" t="s">
        <v>450</v>
      </c>
      <c r="B45" s="119" t="s">
        <v>221</v>
      </c>
      <c r="C45" s="1110">
        <f t="shared" si="4"/>
        <v>21271140</v>
      </c>
      <c r="D45" s="269">
        <f>507601+335000+700000+2935064+146990+16176+15889309+100000</f>
        <v>20630140</v>
      </c>
      <c r="E45" s="189">
        <f>640000</f>
        <v>640000</v>
      </c>
      <c r="F45" s="238">
        <v>1000</v>
      </c>
      <c r="H45" s="385" t="e">
        <f>'1.2.sz.mell. '!C45+'1.3.sz.mell.'!C45+#REF!+#REF!</f>
        <v>#REF!</v>
      </c>
      <c r="I45" s="388" t="e">
        <f t="shared" si="5"/>
        <v>#REF!</v>
      </c>
    </row>
    <row r="46" spans="1:9" s="199" customFormat="1" ht="12" customHeight="1" thickBot="1" x14ac:dyDescent="0.25">
      <c r="A46" s="18" t="s">
        <v>24</v>
      </c>
      <c r="B46" s="19" t="s">
        <v>222</v>
      </c>
      <c r="C46" s="122">
        <f t="shared" si="4"/>
        <v>22232600</v>
      </c>
      <c r="D46" s="281">
        <f>SUM(D47:D51)</f>
        <v>21932600</v>
      </c>
      <c r="E46" s="122">
        <f>SUM(E47:E51)</f>
        <v>300000</v>
      </c>
      <c r="F46" s="122">
        <f>SUM(F47:F51)</f>
        <v>0</v>
      </c>
      <c r="H46" s="385" t="e">
        <f>'1.2.sz.mell. '!C46+'1.3.sz.mell.'!C46+#REF!+#REF!</f>
        <v>#REF!</v>
      </c>
      <c r="I46" s="385" t="e">
        <f t="shared" si="5"/>
        <v>#REF!</v>
      </c>
    </row>
    <row r="47" spans="1:9" s="199" customFormat="1" ht="12" customHeight="1" thickBot="1" x14ac:dyDescent="0.25">
      <c r="A47" s="13" t="s">
        <v>91</v>
      </c>
      <c r="B47" s="200" t="s">
        <v>226</v>
      </c>
      <c r="C47" s="481">
        <f t="shared" si="4"/>
        <v>0</v>
      </c>
      <c r="D47" s="285"/>
      <c r="E47" s="238"/>
      <c r="F47" s="238"/>
      <c r="H47" s="385" t="e">
        <f>'1.2.sz.mell. '!C47+'1.3.sz.mell.'!C47+#REF!+#REF!</f>
        <v>#REF!</v>
      </c>
      <c r="I47" s="386" t="e">
        <f t="shared" si="5"/>
        <v>#REF!</v>
      </c>
    </row>
    <row r="48" spans="1:9" s="199" customFormat="1" ht="12" customHeight="1" thickBot="1" x14ac:dyDescent="0.25">
      <c r="A48" s="12" t="s">
        <v>92</v>
      </c>
      <c r="B48" s="201" t="s">
        <v>227</v>
      </c>
      <c r="C48" s="305">
        <f t="shared" si="4"/>
        <v>21787500</v>
      </c>
      <c r="D48" s="265">
        <f>21787500</f>
        <v>21787500</v>
      </c>
      <c r="E48" s="126"/>
      <c r="F48" s="126"/>
      <c r="H48" s="385" t="e">
        <f>'1.2.sz.mell. '!C48+'1.3.sz.mell.'!C48+#REF!+#REF!</f>
        <v>#REF!</v>
      </c>
      <c r="I48" s="387" t="e">
        <f t="shared" si="5"/>
        <v>#REF!</v>
      </c>
    </row>
    <row r="49" spans="1:9" s="199" customFormat="1" ht="12" customHeight="1" thickBot="1" x14ac:dyDescent="0.25">
      <c r="A49" s="12" t="s">
        <v>223</v>
      </c>
      <c r="B49" s="201" t="s">
        <v>228</v>
      </c>
      <c r="C49" s="305">
        <f t="shared" si="4"/>
        <v>300000</v>
      </c>
      <c r="D49" s="265"/>
      <c r="E49" s="126">
        <f>300000</f>
        <v>300000</v>
      </c>
      <c r="F49" s="126"/>
      <c r="H49" s="385" t="e">
        <f>'1.2.sz.mell. '!C49+'1.3.sz.mell.'!C49+#REF!+#REF!</f>
        <v>#REF!</v>
      </c>
      <c r="I49" s="387" t="e">
        <f t="shared" si="5"/>
        <v>#REF!</v>
      </c>
    </row>
    <row r="50" spans="1:9" s="199" customFormat="1" ht="12" customHeight="1" thickBot="1" x14ac:dyDescent="0.25">
      <c r="A50" s="12" t="s">
        <v>224</v>
      </c>
      <c r="B50" s="201" t="s">
        <v>229</v>
      </c>
      <c r="C50" s="305">
        <f t="shared" si="4"/>
        <v>0</v>
      </c>
      <c r="D50" s="265"/>
      <c r="E50" s="126"/>
      <c r="F50" s="126"/>
      <c r="H50" s="385" t="e">
        <f>'1.2.sz.mell. '!C50+'1.3.sz.mell.'!C50+#REF!+#REF!</f>
        <v>#REF!</v>
      </c>
      <c r="I50" s="387" t="e">
        <f t="shared" si="5"/>
        <v>#REF!</v>
      </c>
    </row>
    <row r="51" spans="1:9" s="199" customFormat="1" ht="12" customHeight="1" thickBot="1" x14ac:dyDescent="0.25">
      <c r="A51" s="14" t="s">
        <v>225</v>
      </c>
      <c r="B51" s="119" t="s">
        <v>230</v>
      </c>
      <c r="C51" s="920">
        <f t="shared" si="4"/>
        <v>145100</v>
      </c>
      <c r="D51" s="269">
        <f>145100</f>
        <v>145100</v>
      </c>
      <c r="E51" s="189"/>
      <c r="F51" s="189"/>
      <c r="H51" s="385" t="e">
        <f>'1.2.sz.mell. '!C51+'1.3.sz.mell.'!C51+#REF!+#REF!</f>
        <v>#REF!</v>
      </c>
      <c r="I51" s="388" t="e">
        <f t="shared" si="5"/>
        <v>#REF!</v>
      </c>
    </row>
    <row r="52" spans="1:9" s="199" customFormat="1" ht="12" customHeight="1" thickBot="1" x14ac:dyDescent="0.25">
      <c r="A52" s="18" t="s">
        <v>141</v>
      </c>
      <c r="B52" s="459" t="s">
        <v>231</v>
      </c>
      <c r="C52" s="295">
        <f t="shared" si="4"/>
        <v>2792700</v>
      </c>
      <c r="D52" s="281">
        <f>SUM(D53:D55)</f>
        <v>2792700</v>
      </c>
      <c r="E52" s="122">
        <f>SUM(E53:E55)</f>
        <v>0</v>
      </c>
      <c r="F52" s="122">
        <f>SUM(F53:F55)</f>
        <v>0</v>
      </c>
      <c r="H52" s="385" t="e">
        <f>'1.2.sz.mell. '!C52+'1.3.sz.mell.'!C52+#REF!+#REF!</f>
        <v>#REF!</v>
      </c>
      <c r="I52" s="385" t="e">
        <f t="shared" si="5"/>
        <v>#REF!</v>
      </c>
    </row>
    <row r="53" spans="1:9" s="199" customFormat="1" ht="12" customHeight="1" thickBot="1" x14ac:dyDescent="0.25">
      <c r="A53" s="13" t="s">
        <v>93</v>
      </c>
      <c r="B53" s="200" t="s">
        <v>232</v>
      </c>
      <c r="C53" s="484">
        <f t="shared" si="4"/>
        <v>0</v>
      </c>
      <c r="D53" s="283"/>
      <c r="E53" s="124"/>
      <c r="F53" s="124"/>
      <c r="H53" s="385" t="e">
        <f>'1.2.sz.mell. '!C53+'1.3.sz.mell.'!C53+#REF!+#REF!</f>
        <v>#REF!</v>
      </c>
      <c r="I53" s="386" t="e">
        <f t="shared" si="5"/>
        <v>#REF!</v>
      </c>
    </row>
    <row r="54" spans="1:9" s="199" customFormat="1" ht="12" customHeight="1" thickBot="1" x14ac:dyDescent="0.25">
      <c r="A54" s="12" t="s">
        <v>94</v>
      </c>
      <c r="B54" s="201" t="s">
        <v>363</v>
      </c>
      <c r="C54" s="305">
        <f t="shared" si="4"/>
        <v>880000</v>
      </c>
      <c r="D54" s="265">
        <f>480000+400000</f>
        <v>880000</v>
      </c>
      <c r="E54" s="126"/>
      <c r="F54" s="126"/>
      <c r="H54" s="385" t="e">
        <f>'1.2.sz.mell. '!C54+'1.3.sz.mell.'!C54+#REF!+#REF!</f>
        <v>#REF!</v>
      </c>
      <c r="I54" s="387" t="e">
        <f t="shared" si="5"/>
        <v>#REF!</v>
      </c>
    </row>
    <row r="55" spans="1:9" s="199" customFormat="1" ht="12" customHeight="1" thickBot="1" x14ac:dyDescent="0.25">
      <c r="A55" s="12" t="s">
        <v>235</v>
      </c>
      <c r="B55" s="201" t="s">
        <v>233</v>
      </c>
      <c r="C55" s="924">
        <f t="shared" si="4"/>
        <v>1912700</v>
      </c>
      <c r="D55" s="265">
        <f>950000+752700+130000+80000</f>
        <v>1912700</v>
      </c>
      <c r="E55" s="126"/>
      <c r="F55" s="126"/>
      <c r="H55" s="385" t="e">
        <f>'1.2.sz.mell. '!C55+'1.3.sz.mell.'!C55+#REF!+#REF!</f>
        <v>#REF!</v>
      </c>
      <c r="I55" s="387" t="e">
        <f t="shared" si="5"/>
        <v>#REF!</v>
      </c>
    </row>
    <row r="56" spans="1:9" s="199" customFormat="1" ht="12" customHeight="1" thickBot="1" x14ac:dyDescent="0.25">
      <c r="A56" s="14" t="s">
        <v>236</v>
      </c>
      <c r="B56" s="119" t="s">
        <v>234</v>
      </c>
      <c r="C56" s="480">
        <f t="shared" si="4"/>
        <v>0</v>
      </c>
      <c r="D56" s="112"/>
      <c r="E56" s="125"/>
      <c r="F56" s="125"/>
      <c r="H56" s="385" t="e">
        <f>'1.2.sz.mell. '!C56+'1.3.sz.mell.'!C56+#REF!+#REF!</f>
        <v>#REF!</v>
      </c>
      <c r="I56" s="388" t="e">
        <f t="shared" si="5"/>
        <v>#REF!</v>
      </c>
    </row>
    <row r="57" spans="1:9" s="199" customFormat="1" ht="12" customHeight="1" thickBot="1" x14ac:dyDescent="0.25">
      <c r="A57" s="18" t="s">
        <v>26</v>
      </c>
      <c r="B57" s="117" t="s">
        <v>237</v>
      </c>
      <c r="C57" s="122">
        <f t="shared" si="4"/>
        <v>0</v>
      </c>
      <c r="D57" s="281">
        <f>SUM(D58:D60)</f>
        <v>0</v>
      </c>
      <c r="E57" s="122">
        <f>SUM(E58:E60)</f>
        <v>0</v>
      </c>
      <c r="F57" s="122">
        <f>SUM(F58:F60)</f>
        <v>0</v>
      </c>
      <c r="H57" s="385" t="e">
        <f>'1.2.sz.mell. '!C57+'1.3.sz.mell.'!C57+#REF!+#REF!</f>
        <v>#REF!</v>
      </c>
      <c r="I57" s="385" t="e">
        <f t="shared" si="5"/>
        <v>#REF!</v>
      </c>
    </row>
    <row r="58" spans="1:9" s="199" customFormat="1" ht="12" customHeight="1" thickBot="1" x14ac:dyDescent="0.25">
      <c r="A58" s="13" t="s">
        <v>142</v>
      </c>
      <c r="B58" s="200" t="s">
        <v>239</v>
      </c>
      <c r="C58" s="481">
        <f t="shared" si="4"/>
        <v>0</v>
      </c>
      <c r="D58" s="265"/>
      <c r="E58" s="126"/>
      <c r="F58" s="126"/>
      <c r="H58" s="385" t="e">
        <f>'1.2.sz.mell. '!C58+'1.3.sz.mell.'!C58+#REF!+#REF!</f>
        <v>#REF!</v>
      </c>
      <c r="I58" s="386" t="e">
        <f t="shared" si="5"/>
        <v>#REF!</v>
      </c>
    </row>
    <row r="59" spans="1:9" s="199" customFormat="1" ht="12" customHeight="1" thickBot="1" x14ac:dyDescent="0.25">
      <c r="A59" s="12" t="s">
        <v>143</v>
      </c>
      <c r="B59" s="201" t="s">
        <v>364</v>
      </c>
      <c r="C59" s="482">
        <f t="shared" si="4"/>
        <v>0</v>
      </c>
      <c r="D59" s="265"/>
      <c r="E59" s="126"/>
      <c r="F59" s="126"/>
      <c r="H59" s="385" t="e">
        <f>'1.2.sz.mell. '!C59+'1.3.sz.mell.'!C59+#REF!+#REF!</f>
        <v>#REF!</v>
      </c>
      <c r="I59" s="387" t="e">
        <f t="shared" si="5"/>
        <v>#REF!</v>
      </c>
    </row>
    <row r="60" spans="1:9" s="199" customFormat="1" ht="12" customHeight="1" thickBot="1" x14ac:dyDescent="0.25">
      <c r="A60" s="12" t="s">
        <v>164</v>
      </c>
      <c r="B60" s="201" t="s">
        <v>240</v>
      </c>
      <c r="C60" s="482">
        <f t="shared" si="4"/>
        <v>0</v>
      </c>
      <c r="D60" s="265"/>
      <c r="E60" s="126"/>
      <c r="F60" s="126"/>
      <c r="H60" s="385" t="e">
        <f>'1.2.sz.mell. '!C60+'1.3.sz.mell.'!C60+#REF!+#REF!</f>
        <v>#REF!</v>
      </c>
      <c r="I60" s="387" t="e">
        <f t="shared" si="5"/>
        <v>#REF!</v>
      </c>
    </row>
    <row r="61" spans="1:9" s="199" customFormat="1" ht="12" customHeight="1" thickBot="1" x14ac:dyDescent="0.25">
      <c r="A61" s="14" t="s">
        <v>238</v>
      </c>
      <c r="B61" s="119" t="s">
        <v>241</v>
      </c>
      <c r="C61" s="483">
        <f t="shared" si="4"/>
        <v>0</v>
      </c>
      <c r="D61" s="265"/>
      <c r="E61" s="126"/>
      <c r="F61" s="126"/>
      <c r="H61" s="385" t="e">
        <f>'1.2.sz.mell. '!C61+'1.3.sz.mell.'!C61+#REF!+#REF!</f>
        <v>#REF!</v>
      </c>
      <c r="I61" s="388" t="e">
        <f t="shared" si="5"/>
        <v>#REF!</v>
      </c>
    </row>
    <row r="62" spans="1:9" s="199" customFormat="1" ht="12" customHeight="1" thickBot="1" x14ac:dyDescent="0.25">
      <c r="A62" s="249" t="s">
        <v>451</v>
      </c>
      <c r="B62" s="19" t="s">
        <v>242</v>
      </c>
      <c r="C62" s="122">
        <f t="shared" si="4"/>
        <v>3643333344</v>
      </c>
      <c r="D62" s="284">
        <f>+D5+D12+D19+D26+D34+D46+D52+D57</f>
        <v>3344577451</v>
      </c>
      <c r="E62" s="127">
        <f>+E5+E12+E19+E26+E34+E46+E52+E57</f>
        <v>8450828</v>
      </c>
      <c r="F62" s="127">
        <f>+F5+F12+F19+F26+F34+F46+F52+F57</f>
        <v>290305065</v>
      </c>
      <c r="H62" s="385" t="e">
        <f>'1.2.sz.mell. '!C62+'1.3.sz.mell.'!C62+#REF!+#REF!</f>
        <v>#REF!</v>
      </c>
      <c r="I62" s="385" t="e">
        <f t="shared" si="5"/>
        <v>#REF!</v>
      </c>
    </row>
    <row r="63" spans="1:9" s="199" customFormat="1" ht="12" customHeight="1" thickBot="1" x14ac:dyDescent="0.25">
      <c r="A63" s="250" t="s">
        <v>243</v>
      </c>
      <c r="B63" s="117" t="s">
        <v>244</v>
      </c>
      <c r="C63" s="122">
        <f t="shared" si="4"/>
        <v>169269106</v>
      </c>
      <c r="D63" s="281">
        <f>SUM(D64:D66)</f>
        <v>169269106</v>
      </c>
      <c r="E63" s="122">
        <f>SUM(E64:E66)</f>
        <v>0</v>
      </c>
      <c r="F63" s="122">
        <f>SUM(F64:F66)</f>
        <v>0</v>
      </c>
      <c r="H63" s="385" t="e">
        <f>'1.2.sz.mell. '!C63+'1.3.sz.mell.'!C63+#REF!+#REF!</f>
        <v>#REF!</v>
      </c>
      <c r="I63" s="385" t="e">
        <f t="shared" si="5"/>
        <v>#REF!</v>
      </c>
    </row>
    <row r="64" spans="1:9" s="199" customFormat="1" ht="12" customHeight="1" thickBot="1" x14ac:dyDescent="0.25">
      <c r="A64" s="13" t="s">
        <v>275</v>
      </c>
      <c r="B64" s="200" t="s">
        <v>245</v>
      </c>
      <c r="C64" s="479">
        <f t="shared" si="4"/>
        <v>69269106</v>
      </c>
      <c r="D64" s="265">
        <f>69269106</f>
        <v>69269106</v>
      </c>
      <c r="E64" s="126"/>
      <c r="F64" s="126"/>
      <c r="H64" s="385" t="e">
        <f>'1.2.sz.mell. '!C64+'1.3.sz.mell.'!C64+#REF!+#REF!</f>
        <v>#REF!</v>
      </c>
      <c r="I64" s="386" t="e">
        <f t="shared" si="5"/>
        <v>#REF!</v>
      </c>
    </row>
    <row r="65" spans="1:9" s="199" customFormat="1" ht="12" customHeight="1" thickBot="1" x14ac:dyDescent="0.25">
      <c r="A65" s="12" t="s">
        <v>284</v>
      </c>
      <c r="B65" s="201" t="s">
        <v>246</v>
      </c>
      <c r="C65" s="305">
        <f t="shared" si="4"/>
        <v>100000000</v>
      </c>
      <c r="D65" s="265">
        <v>100000000</v>
      </c>
      <c r="E65" s="126"/>
      <c r="F65" s="126"/>
      <c r="H65" s="385" t="e">
        <f>'1.2.sz.mell. '!C65+'1.3.sz.mell.'!C65+#REF!+#REF!</f>
        <v>#REF!</v>
      </c>
      <c r="I65" s="387" t="e">
        <f t="shared" si="5"/>
        <v>#REF!</v>
      </c>
    </row>
    <row r="66" spans="1:9" s="199" customFormat="1" ht="12" customHeight="1" thickBot="1" x14ac:dyDescent="0.25">
      <c r="A66" s="14" t="s">
        <v>285</v>
      </c>
      <c r="B66" s="251" t="s">
        <v>452</v>
      </c>
      <c r="C66" s="483">
        <f t="shared" si="4"/>
        <v>0</v>
      </c>
      <c r="D66" s="265"/>
      <c r="E66" s="126"/>
      <c r="F66" s="126"/>
      <c r="H66" s="385" t="e">
        <f>'1.2.sz.mell. '!C66+'1.3.sz.mell.'!C66+#REF!+#REF!</f>
        <v>#REF!</v>
      </c>
      <c r="I66" s="388" t="e">
        <f t="shared" si="5"/>
        <v>#REF!</v>
      </c>
    </row>
    <row r="67" spans="1:9" s="199" customFormat="1" ht="12" customHeight="1" thickBot="1" x14ac:dyDescent="0.25">
      <c r="A67" s="250" t="s">
        <v>248</v>
      </c>
      <c r="B67" s="117" t="s">
        <v>249</v>
      </c>
      <c r="C67" s="122">
        <f t="shared" si="4"/>
        <v>0</v>
      </c>
      <c r="D67" s="281">
        <f>SUM(D68:D71)</f>
        <v>0</v>
      </c>
      <c r="E67" s="122">
        <f>SUM(E68:E71)</f>
        <v>0</v>
      </c>
      <c r="F67" s="122">
        <f>SUM(F68:F71)</f>
        <v>0</v>
      </c>
      <c r="H67" s="385" t="e">
        <f>'1.2.sz.mell. '!C67+'1.3.sz.mell.'!C67+#REF!+#REF!</f>
        <v>#REF!</v>
      </c>
      <c r="I67" s="385" t="e">
        <f t="shared" si="5"/>
        <v>#REF!</v>
      </c>
    </row>
    <row r="68" spans="1:9" s="199" customFormat="1" ht="12" customHeight="1" thickBot="1" x14ac:dyDescent="0.25">
      <c r="A68" s="13" t="s">
        <v>122</v>
      </c>
      <c r="B68" s="200" t="s">
        <v>250</v>
      </c>
      <c r="C68" s="481">
        <f t="shared" si="4"/>
        <v>0</v>
      </c>
      <c r="D68" s="265"/>
      <c r="E68" s="126"/>
      <c r="F68" s="126"/>
      <c r="H68" s="385" t="e">
        <f>'1.2.sz.mell. '!C68+'1.3.sz.mell.'!C68+#REF!+#REF!</f>
        <v>#REF!</v>
      </c>
      <c r="I68" s="386" t="e">
        <f t="shared" si="5"/>
        <v>#REF!</v>
      </c>
    </row>
    <row r="69" spans="1:9" s="199" customFormat="1" ht="12" customHeight="1" thickBot="1" x14ac:dyDescent="0.25">
      <c r="A69" s="12" t="s">
        <v>123</v>
      </c>
      <c r="B69" s="201" t="s">
        <v>251</v>
      </c>
      <c r="C69" s="482">
        <f t="shared" ref="C69:C87" si="6">SUM(D69:F69)</f>
        <v>0</v>
      </c>
      <c r="D69" s="265"/>
      <c r="E69" s="126"/>
      <c r="F69" s="126"/>
      <c r="H69" s="385" t="e">
        <f>'1.2.sz.mell. '!C69+'1.3.sz.mell.'!C69+#REF!+#REF!</f>
        <v>#REF!</v>
      </c>
      <c r="I69" s="387" t="e">
        <f t="shared" ref="I69:I87" si="7">C69-H69</f>
        <v>#REF!</v>
      </c>
    </row>
    <row r="70" spans="1:9" s="199" customFormat="1" ht="12" customHeight="1" thickBot="1" x14ac:dyDescent="0.25">
      <c r="A70" s="12" t="s">
        <v>276</v>
      </c>
      <c r="B70" s="201" t="s">
        <v>252</v>
      </c>
      <c r="C70" s="482">
        <f t="shared" si="6"/>
        <v>0</v>
      </c>
      <c r="D70" s="265"/>
      <c r="E70" s="126"/>
      <c r="F70" s="126"/>
      <c r="H70" s="385" t="e">
        <f>'1.2.sz.mell. '!C70+'1.3.sz.mell.'!C70+#REF!+#REF!</f>
        <v>#REF!</v>
      </c>
      <c r="I70" s="387" t="e">
        <f t="shared" si="7"/>
        <v>#REF!</v>
      </c>
    </row>
    <row r="71" spans="1:9" s="199" customFormat="1" ht="12" customHeight="1" thickBot="1" x14ac:dyDescent="0.25">
      <c r="A71" s="14" t="s">
        <v>277</v>
      </c>
      <c r="B71" s="119" t="s">
        <v>253</v>
      </c>
      <c r="C71" s="483">
        <f t="shared" si="6"/>
        <v>0</v>
      </c>
      <c r="D71" s="265"/>
      <c r="E71" s="126"/>
      <c r="F71" s="126"/>
      <c r="H71" s="385" t="e">
        <f>'1.2.sz.mell. '!C71+'1.3.sz.mell.'!C71+#REF!+#REF!</f>
        <v>#REF!</v>
      </c>
      <c r="I71" s="388" t="e">
        <f t="shared" si="7"/>
        <v>#REF!</v>
      </c>
    </row>
    <row r="72" spans="1:9" s="199" customFormat="1" ht="12" customHeight="1" thickBot="1" x14ac:dyDescent="0.25">
      <c r="A72" s="250" t="s">
        <v>254</v>
      </c>
      <c r="B72" s="117" t="s">
        <v>255</v>
      </c>
      <c r="C72" s="122">
        <f t="shared" si="6"/>
        <v>367267935</v>
      </c>
      <c r="D72" s="281">
        <f>SUM(D73:D74)</f>
        <v>349183804</v>
      </c>
      <c r="E72" s="122">
        <f>SUM(E73:E74)</f>
        <v>829764</v>
      </c>
      <c r="F72" s="122">
        <f>SUM(F73:F74)</f>
        <v>17254367</v>
      </c>
      <c r="H72" s="385" t="e">
        <f>'1.2.sz.mell. '!C72+'1.3.sz.mell.'!C72+#REF!+#REF!</f>
        <v>#REF!</v>
      </c>
      <c r="I72" s="385" t="e">
        <f t="shared" si="7"/>
        <v>#REF!</v>
      </c>
    </row>
    <row r="73" spans="1:9" s="199" customFormat="1" ht="12" customHeight="1" thickBot="1" x14ac:dyDescent="0.25">
      <c r="A73" s="13" t="s">
        <v>278</v>
      </c>
      <c r="B73" s="200" t="s">
        <v>256</v>
      </c>
      <c r="C73" s="479">
        <f t="shared" si="6"/>
        <v>367267935</v>
      </c>
      <c r="D73" s="265">
        <f>346583469+2600335</f>
        <v>349183804</v>
      </c>
      <c r="E73" s="126">
        <f>829764</f>
        <v>829764</v>
      </c>
      <c r="F73" s="126">
        <f>1550858+372804+435258+1054835+13840612</f>
        <v>17254367</v>
      </c>
      <c r="H73" s="385" t="e">
        <f>'1.2.sz.mell. '!C73+'1.3.sz.mell.'!C73+#REF!+#REF!</f>
        <v>#REF!</v>
      </c>
      <c r="I73" s="386" t="e">
        <f t="shared" si="7"/>
        <v>#REF!</v>
      </c>
    </row>
    <row r="74" spans="1:9" s="199" customFormat="1" ht="12" customHeight="1" thickBot="1" x14ac:dyDescent="0.25">
      <c r="A74" s="14" t="s">
        <v>279</v>
      </c>
      <c r="B74" s="119" t="s">
        <v>257</v>
      </c>
      <c r="C74" s="483">
        <f t="shared" si="6"/>
        <v>0</v>
      </c>
      <c r="D74" s="265"/>
      <c r="E74" s="126"/>
      <c r="F74" s="126"/>
      <c r="H74" s="385" t="e">
        <f>'1.2.sz.mell. '!C74+'1.3.sz.mell.'!C74+#REF!+#REF!</f>
        <v>#REF!</v>
      </c>
      <c r="I74" s="388" t="e">
        <f t="shared" si="7"/>
        <v>#REF!</v>
      </c>
    </row>
    <row r="75" spans="1:9" s="199" customFormat="1" ht="12" customHeight="1" thickBot="1" x14ac:dyDescent="0.25">
      <c r="A75" s="250" t="s">
        <v>258</v>
      </c>
      <c r="B75" s="117" t="s">
        <v>259</v>
      </c>
      <c r="C75" s="122">
        <f t="shared" si="6"/>
        <v>45672254</v>
      </c>
      <c r="D75" s="281">
        <f>SUM(D76:D78)</f>
        <v>45672254</v>
      </c>
      <c r="E75" s="122">
        <f>SUM(E76:E78)</f>
        <v>0</v>
      </c>
      <c r="F75" s="122">
        <f>SUM(F76:F78)</f>
        <v>0</v>
      </c>
      <c r="H75" s="385" t="e">
        <f>'1.2.sz.mell. '!C75+'1.3.sz.mell.'!C75+#REF!+#REF!</f>
        <v>#REF!</v>
      </c>
      <c r="I75" s="385" t="e">
        <f t="shared" si="7"/>
        <v>#REF!</v>
      </c>
    </row>
    <row r="76" spans="1:9" s="199" customFormat="1" ht="12" customHeight="1" thickBot="1" x14ac:dyDescent="0.25">
      <c r="A76" s="13" t="s">
        <v>280</v>
      </c>
      <c r="B76" s="200" t="s">
        <v>260</v>
      </c>
      <c r="C76" s="1111">
        <f t="shared" si="6"/>
        <v>45672254</v>
      </c>
      <c r="D76" s="265">
        <v>45672254</v>
      </c>
      <c r="E76" s="126"/>
      <c r="F76" s="126"/>
      <c r="H76" s="385" t="e">
        <f>'1.2.sz.mell. '!C76+'1.3.sz.mell.'!C76+#REF!+#REF!</f>
        <v>#REF!</v>
      </c>
      <c r="I76" s="386" t="e">
        <f t="shared" si="7"/>
        <v>#REF!</v>
      </c>
    </row>
    <row r="77" spans="1:9" s="199" customFormat="1" ht="12" customHeight="1" thickBot="1" x14ac:dyDescent="0.25">
      <c r="A77" s="12" t="s">
        <v>281</v>
      </c>
      <c r="B77" s="201" t="s">
        <v>261</v>
      </c>
      <c r="C77" s="482">
        <f t="shared" si="6"/>
        <v>0</v>
      </c>
      <c r="D77" s="265"/>
      <c r="E77" s="126"/>
      <c r="F77" s="126"/>
      <c r="H77" s="385" t="e">
        <f>'1.2.sz.mell. '!C77+'1.3.sz.mell.'!C77+#REF!+#REF!</f>
        <v>#REF!</v>
      </c>
      <c r="I77" s="387" t="e">
        <f t="shared" si="7"/>
        <v>#REF!</v>
      </c>
    </row>
    <row r="78" spans="1:9" s="199" customFormat="1" ht="12" customHeight="1" thickBot="1" x14ac:dyDescent="0.25">
      <c r="A78" s="14" t="s">
        <v>282</v>
      </c>
      <c r="B78" s="119" t="s">
        <v>262</v>
      </c>
      <c r="C78" s="483">
        <f t="shared" si="6"/>
        <v>0</v>
      </c>
      <c r="D78" s="265"/>
      <c r="E78" s="126"/>
      <c r="F78" s="126"/>
      <c r="H78" s="385" t="e">
        <f>'1.2.sz.mell. '!C78+'1.3.sz.mell.'!C78+#REF!+#REF!</f>
        <v>#REF!</v>
      </c>
      <c r="I78" s="388" t="e">
        <f t="shared" si="7"/>
        <v>#REF!</v>
      </c>
    </row>
    <row r="79" spans="1:9" s="199" customFormat="1" ht="12" customHeight="1" thickBot="1" x14ac:dyDescent="0.25">
      <c r="A79" s="250" t="s">
        <v>263</v>
      </c>
      <c r="B79" s="117" t="s">
        <v>283</v>
      </c>
      <c r="C79" s="122">
        <f t="shared" si="6"/>
        <v>0</v>
      </c>
      <c r="D79" s="281">
        <f>SUM(D80:D83)</f>
        <v>0</v>
      </c>
      <c r="E79" s="122">
        <f>SUM(E80:E83)</f>
        <v>0</v>
      </c>
      <c r="F79" s="122">
        <f>SUM(F80:F83)</f>
        <v>0</v>
      </c>
      <c r="H79" s="385" t="e">
        <f>'1.2.sz.mell. '!C79+'1.3.sz.mell.'!C79+#REF!+#REF!</f>
        <v>#REF!</v>
      </c>
      <c r="I79" s="385" t="e">
        <f t="shared" si="7"/>
        <v>#REF!</v>
      </c>
    </row>
    <row r="80" spans="1:9" s="199" customFormat="1" ht="12" customHeight="1" thickBot="1" x14ac:dyDescent="0.25">
      <c r="A80" s="204" t="s">
        <v>264</v>
      </c>
      <c r="B80" s="200" t="s">
        <v>265</v>
      </c>
      <c r="C80" s="481">
        <f t="shared" si="6"/>
        <v>0</v>
      </c>
      <c r="D80" s="265"/>
      <c r="E80" s="126"/>
      <c r="F80" s="126"/>
      <c r="H80" s="385" t="e">
        <f>'1.2.sz.mell. '!C80+'1.3.sz.mell.'!C80+#REF!+#REF!</f>
        <v>#REF!</v>
      </c>
      <c r="I80" s="386" t="e">
        <f t="shared" si="7"/>
        <v>#REF!</v>
      </c>
    </row>
    <row r="81" spans="1:9" s="199" customFormat="1" ht="12" customHeight="1" thickBot="1" x14ac:dyDescent="0.25">
      <c r="A81" s="205" t="s">
        <v>266</v>
      </c>
      <c r="B81" s="201" t="s">
        <v>267</v>
      </c>
      <c r="C81" s="482">
        <f t="shared" si="6"/>
        <v>0</v>
      </c>
      <c r="D81" s="265"/>
      <c r="E81" s="126"/>
      <c r="F81" s="126"/>
      <c r="H81" s="385" t="e">
        <f>'1.2.sz.mell. '!C81+'1.3.sz.mell.'!C81+#REF!+#REF!</f>
        <v>#REF!</v>
      </c>
      <c r="I81" s="387" t="e">
        <f t="shared" si="7"/>
        <v>#REF!</v>
      </c>
    </row>
    <row r="82" spans="1:9" s="199" customFormat="1" ht="12" customHeight="1" thickBot="1" x14ac:dyDescent="0.25">
      <c r="A82" s="205" t="s">
        <v>268</v>
      </c>
      <c r="B82" s="201" t="s">
        <v>269</v>
      </c>
      <c r="C82" s="482">
        <f t="shared" si="6"/>
        <v>0</v>
      </c>
      <c r="D82" s="265"/>
      <c r="E82" s="126"/>
      <c r="F82" s="126"/>
      <c r="H82" s="385" t="e">
        <f>'1.2.sz.mell. '!C82+'1.3.sz.mell.'!C82+#REF!+#REF!</f>
        <v>#REF!</v>
      </c>
      <c r="I82" s="387" t="e">
        <f t="shared" si="7"/>
        <v>#REF!</v>
      </c>
    </row>
    <row r="83" spans="1:9" s="199" customFormat="1" ht="12" customHeight="1" thickBot="1" x14ac:dyDescent="0.25">
      <c r="A83" s="206" t="s">
        <v>270</v>
      </c>
      <c r="B83" s="119" t="s">
        <v>271</v>
      </c>
      <c r="C83" s="483">
        <f t="shared" si="6"/>
        <v>0</v>
      </c>
      <c r="D83" s="265"/>
      <c r="E83" s="126"/>
      <c r="F83" s="126"/>
      <c r="H83" s="385" t="e">
        <f>'1.2.sz.mell. '!C83+'1.3.sz.mell.'!C83+#REF!+#REF!</f>
        <v>#REF!</v>
      </c>
      <c r="I83" s="388" t="e">
        <f t="shared" si="7"/>
        <v>#REF!</v>
      </c>
    </row>
    <row r="84" spans="1:9" s="199" customFormat="1" ht="12" customHeight="1" thickBot="1" x14ac:dyDescent="0.25">
      <c r="A84" s="250" t="s">
        <v>272</v>
      </c>
      <c r="B84" s="117" t="s">
        <v>453</v>
      </c>
      <c r="C84" s="122">
        <f t="shared" si="6"/>
        <v>0</v>
      </c>
      <c r="D84" s="286"/>
      <c r="E84" s="239"/>
      <c r="F84" s="239"/>
      <c r="H84" s="385" t="e">
        <f>'1.2.sz.mell. '!C84+'1.3.sz.mell.'!C84+#REF!+#REF!</f>
        <v>#REF!</v>
      </c>
      <c r="I84" s="385" t="e">
        <f t="shared" si="7"/>
        <v>#REF!</v>
      </c>
    </row>
    <row r="85" spans="1:9" s="199" customFormat="1" ht="13.5" customHeight="1" thickBot="1" x14ac:dyDescent="0.25">
      <c r="A85" s="250" t="s">
        <v>274</v>
      </c>
      <c r="B85" s="117" t="s">
        <v>273</v>
      </c>
      <c r="C85" s="122">
        <f t="shared" si="6"/>
        <v>0</v>
      </c>
      <c r="D85" s="286"/>
      <c r="E85" s="239"/>
      <c r="F85" s="239"/>
      <c r="H85" s="385" t="e">
        <f>'1.2.sz.mell. '!C85+'1.3.sz.mell.'!C85+#REF!+#REF!</f>
        <v>#REF!</v>
      </c>
      <c r="I85" s="385" t="e">
        <f t="shared" si="7"/>
        <v>#REF!</v>
      </c>
    </row>
    <row r="86" spans="1:9" s="199" customFormat="1" ht="15.75" customHeight="1" thickBot="1" x14ac:dyDescent="0.25">
      <c r="A86" s="250" t="s">
        <v>286</v>
      </c>
      <c r="B86" s="207" t="s">
        <v>454</v>
      </c>
      <c r="C86" s="122">
        <f t="shared" si="6"/>
        <v>582209295</v>
      </c>
      <c r="D86" s="284">
        <f>+D63+D67+D72+D75+D79+D85+D84</f>
        <v>564125164</v>
      </c>
      <c r="E86" s="127">
        <f>+E63+E67+E72+E75+E79+E85+E84</f>
        <v>829764</v>
      </c>
      <c r="F86" s="127">
        <f>+F63+F67+F72+F75+F79+F85+F84</f>
        <v>17254367</v>
      </c>
      <c r="H86" s="385" t="e">
        <f>'1.2.sz.mell. '!C86+'1.3.sz.mell.'!C86+#REF!+#REF!</f>
        <v>#REF!</v>
      </c>
      <c r="I86" s="385" t="e">
        <f t="shared" si="7"/>
        <v>#REF!</v>
      </c>
    </row>
    <row r="87" spans="1:9" s="199" customFormat="1" ht="16.5" customHeight="1" thickBot="1" x14ac:dyDescent="0.25">
      <c r="A87" s="252" t="s">
        <v>455</v>
      </c>
      <c r="B87" s="208" t="s">
        <v>456</v>
      </c>
      <c r="C87" s="122">
        <f t="shared" si="6"/>
        <v>4225542639</v>
      </c>
      <c r="D87" s="284">
        <f>+D62+D86</f>
        <v>3908702615</v>
      </c>
      <c r="E87" s="127">
        <f>+E62+E86</f>
        <v>9280592</v>
      </c>
      <c r="F87" s="127">
        <f>+F62+F86</f>
        <v>307559432</v>
      </c>
      <c r="H87" s="385" t="e">
        <f>'1.2.sz.mell. '!C87+'1.3.sz.mell.'!C87+#REF!+#REF!</f>
        <v>#REF!</v>
      </c>
      <c r="I87" s="385" t="e">
        <f t="shared" si="7"/>
        <v>#REF!</v>
      </c>
    </row>
    <row r="88" spans="1:9" s="199" customFormat="1" ht="83.25" customHeight="1" thickBot="1" x14ac:dyDescent="0.25">
      <c r="A88" s="3"/>
      <c r="B88" s="4"/>
      <c r="C88" s="128"/>
      <c r="H88" s="385" t="e">
        <f>'1.2.sz.mell. '!C88+'1.3.sz.mell.'!C88+#REF!+#REF!</f>
        <v>#REF!</v>
      </c>
      <c r="I88" s="383"/>
    </row>
    <row r="89" spans="1:9" ht="16.5" customHeight="1" thickBot="1" x14ac:dyDescent="0.3">
      <c r="A89" s="1172" t="s">
        <v>47</v>
      </c>
      <c r="B89" s="1172"/>
      <c r="C89" s="1172"/>
      <c r="D89" s="679"/>
      <c r="H89" s="385" t="e">
        <f>'1.2.sz.mell. '!C89+'1.3.sz.mell.'!C89+#REF!+#REF!</f>
        <v>#REF!</v>
      </c>
      <c r="I89" s="383"/>
    </row>
    <row r="90" spans="1:9" s="551" customFormat="1" ht="16.5" customHeight="1" thickBot="1" x14ac:dyDescent="0.3">
      <c r="A90" s="1173" t="s">
        <v>125</v>
      </c>
      <c r="B90" s="1173"/>
      <c r="C90" s="69" t="s">
        <v>552</v>
      </c>
      <c r="H90" s="385" t="e">
        <f>'1.2.sz.mell. '!C90+'1.3.sz.mell.'!C90+#REF!+#REF!</f>
        <v>#VALUE!</v>
      </c>
      <c r="I90" s="383"/>
    </row>
    <row r="91" spans="1:9" ht="38.1" customHeight="1" thickBot="1" x14ac:dyDescent="0.3">
      <c r="A91" s="21" t="s">
        <v>70</v>
      </c>
      <c r="B91" s="22" t="s">
        <v>48</v>
      </c>
      <c r="C91" s="32" t="str">
        <f>+C3</f>
        <v>2019. évi előirányzat</v>
      </c>
      <c r="D91" s="186" t="s">
        <v>558</v>
      </c>
      <c r="E91" s="186" t="s">
        <v>559</v>
      </c>
      <c r="F91" s="186" t="s">
        <v>560</v>
      </c>
      <c r="H91" s="385" t="e">
        <f>'1.2.sz.mell. '!C91+'1.3.sz.mell.'!C91+#REF!+#REF!</f>
        <v>#VALUE!</v>
      </c>
      <c r="I91" s="383"/>
    </row>
    <row r="92" spans="1:9" s="198" customFormat="1" ht="12" customHeight="1" thickBot="1" x14ac:dyDescent="0.25">
      <c r="A92" s="28" t="s">
        <v>443</v>
      </c>
      <c r="B92" s="29" t="s">
        <v>444</v>
      </c>
      <c r="C92" s="194" t="s">
        <v>445</v>
      </c>
      <c r="H92" s="385" t="e">
        <f>'1.2.sz.mell. '!C92+'1.3.sz.mell.'!C92+#REF!+#REF!</f>
        <v>#VALUE!</v>
      </c>
      <c r="I92" s="383"/>
    </row>
    <row r="93" spans="1:9" ht="12" customHeight="1" thickBot="1" x14ac:dyDescent="0.3">
      <c r="A93" s="20" t="s">
        <v>19</v>
      </c>
      <c r="B93" s="24" t="s">
        <v>494</v>
      </c>
      <c r="C93" s="311">
        <f t="shared" ref="C93:C124" si="8">SUM(D93:F93)</f>
        <v>2664930064</v>
      </c>
      <c r="D93" s="289">
        <f>+D94+D95+D96+D97+D98+D111</f>
        <v>825869814</v>
      </c>
      <c r="E93" s="121">
        <f>+E94+E95+E96+E97+E98+E111</f>
        <v>223670940</v>
      </c>
      <c r="F93" s="295">
        <f>F94+F95+F96+F97+F98+F111</f>
        <v>1615389310</v>
      </c>
      <c r="H93" s="385" t="e">
        <f>'1.2.sz.mell. '!C93+'1.3.sz.mell.'!C93+#REF!+#REF!</f>
        <v>#REF!</v>
      </c>
      <c r="I93" s="385" t="e">
        <f t="shared" ref="I93:I124" si="9">C93-H93</f>
        <v>#REF!</v>
      </c>
    </row>
    <row r="94" spans="1:9" ht="12" customHeight="1" thickBot="1" x14ac:dyDescent="0.3">
      <c r="A94" s="15" t="s">
        <v>95</v>
      </c>
      <c r="B94" s="8" t="s">
        <v>49</v>
      </c>
      <c r="C94" s="922">
        <f t="shared" si="8"/>
        <v>1110072178</v>
      </c>
      <c r="D94" s="300">
        <f>23173251+2787126+1407675+14384916+61829+2528076+5742073+5312587+2829171+5006284+4508593+62332708+259427+2832000-6605014+201180+421162-23516235</f>
        <v>103666809</v>
      </c>
      <c r="E94" s="273">
        <f>147375885+935085+4069918</f>
        <v>152380888</v>
      </c>
      <c r="F94" s="273">
        <f>60512486+64039486+48091292+208655734+471445483+110000+1170000</f>
        <v>854024481</v>
      </c>
      <c r="H94" s="385" t="e">
        <f>'1.2.sz.mell. '!C94+'1.3.sz.mell.'!C94+#REF!+#REF!</f>
        <v>#REF!</v>
      </c>
      <c r="I94" s="386" t="e">
        <f t="shared" si="9"/>
        <v>#REF!</v>
      </c>
    </row>
    <row r="95" spans="1:9" ht="12" customHeight="1" thickBot="1" x14ac:dyDescent="0.3">
      <c r="A95" s="12" t="s">
        <v>96</v>
      </c>
      <c r="B95" s="6" t="s">
        <v>144</v>
      </c>
      <c r="C95" s="922">
        <f t="shared" si="8"/>
        <v>227162504</v>
      </c>
      <c r="D95" s="265">
        <f>4364055+1409889+7817+2684650+14227+10944+444000+1007723+1067610+551689+976228+1722449+15536641-7082603+529709-1902306+365404+107194-4856802</f>
        <v>16958518</v>
      </c>
      <c r="E95" s="126">
        <f>30406649+133681+815187</f>
        <v>31355517</v>
      </c>
      <c r="F95" s="126">
        <f>13261042+12834203+9499320+44850807+98130166+44781+228150</f>
        <v>178848469</v>
      </c>
      <c r="H95" s="385" t="e">
        <f>'1.2.sz.mell. '!C95+'1.3.sz.mell.'!C95+#REF!+#REF!</f>
        <v>#REF!</v>
      </c>
      <c r="I95" s="387" t="e">
        <f t="shared" si="9"/>
        <v>#REF!</v>
      </c>
    </row>
    <row r="96" spans="1:9" ht="12" customHeight="1" thickBot="1" x14ac:dyDescent="0.3">
      <c r="A96" s="12" t="s">
        <v>97</v>
      </c>
      <c r="B96" s="6" t="s">
        <v>120</v>
      </c>
      <c r="C96" s="922">
        <f t="shared" si="8"/>
        <v>950578878</v>
      </c>
      <c r="D96" s="269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+2631359-52930592-4000000</f>
        <v>328127983</v>
      </c>
      <c r="E96" s="189">
        <f>38780508+150000+369027+635000</f>
        <v>39934535</v>
      </c>
      <c r="F96" s="126">
        <f>229985778+15749737+50789082+80145873+198957271+6888619</f>
        <v>582516360</v>
      </c>
      <c r="H96" s="385" t="e">
        <f>'1.2.sz.mell. '!C96+'1.3.sz.mell.'!C96+#REF!+#REF!</f>
        <v>#REF!</v>
      </c>
      <c r="I96" s="387" t="e">
        <f t="shared" si="9"/>
        <v>#REF!</v>
      </c>
    </row>
    <row r="97" spans="1:9" ht="12" customHeight="1" thickBot="1" x14ac:dyDescent="0.3">
      <c r="A97" s="12" t="s">
        <v>98</v>
      </c>
      <c r="B97" s="6" t="s">
        <v>145</v>
      </c>
      <c r="C97" s="918">
        <f t="shared" si="8"/>
        <v>51600000</v>
      </c>
      <c r="D97" s="269">
        <f>24250000+48100000+3500000-24250000</f>
        <v>51600000</v>
      </c>
      <c r="E97" s="189"/>
      <c r="F97" s="189"/>
      <c r="H97" s="385" t="e">
        <f>'1.2.sz.mell. '!C97+'1.3.sz.mell.'!C97+#REF!+#REF!</f>
        <v>#REF!</v>
      </c>
      <c r="I97" s="387" t="e">
        <f t="shared" si="9"/>
        <v>#REF!</v>
      </c>
    </row>
    <row r="98" spans="1:9" ht="12" customHeight="1" thickBot="1" x14ac:dyDescent="0.3">
      <c r="A98" s="12" t="s">
        <v>109</v>
      </c>
      <c r="B98" s="5" t="s">
        <v>146</v>
      </c>
      <c r="C98" s="922">
        <f t="shared" si="8"/>
        <v>262535762</v>
      </c>
      <c r="D98" s="269">
        <f>SUM(D99:D110)</f>
        <v>262535762</v>
      </c>
      <c r="E98" s="269">
        <f t="shared" ref="E98" si="10">SUM(E99:E110)</f>
        <v>0</v>
      </c>
      <c r="F98" s="189"/>
      <c r="H98" s="385" t="e">
        <f>'1.2.sz.mell. '!C98+'1.3.sz.mell.'!C98+#REF!+#REF!</f>
        <v>#REF!</v>
      </c>
      <c r="I98" s="387" t="e">
        <f t="shared" si="9"/>
        <v>#REF!</v>
      </c>
    </row>
    <row r="99" spans="1:9" ht="12" customHeight="1" thickBot="1" x14ac:dyDescent="0.3">
      <c r="A99" s="12" t="s">
        <v>99</v>
      </c>
      <c r="B99" s="6" t="s">
        <v>457</v>
      </c>
      <c r="C99" s="918">
        <f t="shared" si="8"/>
        <v>9800000</v>
      </c>
      <c r="D99" s="269">
        <f>100000+3200000+6500000</f>
        <v>9800000</v>
      </c>
      <c r="E99" s="189"/>
      <c r="F99" s="189"/>
      <c r="H99" s="385" t="e">
        <f>'1.2.sz.mell. '!C99+'1.3.sz.mell.'!C99+#REF!+#REF!</f>
        <v>#REF!</v>
      </c>
      <c r="I99" s="387" t="e">
        <f t="shared" si="9"/>
        <v>#REF!</v>
      </c>
    </row>
    <row r="100" spans="1:9" ht="12" customHeight="1" thickBot="1" x14ac:dyDescent="0.3">
      <c r="A100" s="12" t="s">
        <v>100</v>
      </c>
      <c r="B100" s="73" t="s">
        <v>458</v>
      </c>
      <c r="C100" s="436">
        <f t="shared" si="8"/>
        <v>0</v>
      </c>
      <c r="D100" s="269"/>
      <c r="E100" s="189"/>
      <c r="F100" s="189"/>
      <c r="H100" s="385" t="e">
        <f>'1.2.sz.mell. '!C100+'1.3.sz.mell.'!C100+#REF!+#REF!</f>
        <v>#REF!</v>
      </c>
      <c r="I100" s="387" t="e">
        <f t="shared" si="9"/>
        <v>#REF!</v>
      </c>
    </row>
    <row r="101" spans="1:9" ht="12" customHeight="1" thickBot="1" x14ac:dyDescent="0.3">
      <c r="A101" s="12" t="s">
        <v>110</v>
      </c>
      <c r="B101" s="73" t="s">
        <v>459</v>
      </c>
      <c r="C101" s="436">
        <f t="shared" si="8"/>
        <v>0</v>
      </c>
      <c r="D101" s="269"/>
      <c r="E101" s="189"/>
      <c r="F101" s="189"/>
      <c r="H101" s="385" t="e">
        <f>'1.2.sz.mell. '!C101+'1.3.sz.mell.'!C101+#REF!+#REF!</f>
        <v>#REF!</v>
      </c>
      <c r="I101" s="387" t="e">
        <f t="shared" si="9"/>
        <v>#REF!</v>
      </c>
    </row>
    <row r="102" spans="1:9" ht="12" customHeight="1" thickBot="1" x14ac:dyDescent="0.3">
      <c r="A102" s="12" t="s">
        <v>111</v>
      </c>
      <c r="B102" s="71" t="s">
        <v>289</v>
      </c>
      <c r="C102" s="436">
        <f t="shared" si="8"/>
        <v>0</v>
      </c>
      <c r="D102" s="269"/>
      <c r="E102" s="189"/>
      <c r="F102" s="189"/>
      <c r="H102" s="385" t="e">
        <f>'1.2.sz.mell. '!C102+'1.3.sz.mell.'!C102+#REF!+#REF!</f>
        <v>#REF!</v>
      </c>
      <c r="I102" s="387" t="e">
        <f t="shared" si="9"/>
        <v>#REF!</v>
      </c>
    </row>
    <row r="103" spans="1:9" ht="12" customHeight="1" thickBot="1" x14ac:dyDescent="0.3">
      <c r="A103" s="12" t="s">
        <v>112</v>
      </c>
      <c r="B103" s="72" t="s">
        <v>290</v>
      </c>
      <c r="C103" s="436">
        <f t="shared" si="8"/>
        <v>0</v>
      </c>
      <c r="D103" s="269"/>
      <c r="E103" s="189"/>
      <c r="F103" s="189"/>
      <c r="H103" s="385" t="e">
        <f>'1.2.sz.mell. '!C103+'1.3.sz.mell.'!C103+#REF!+#REF!</f>
        <v>#REF!</v>
      </c>
      <c r="I103" s="387" t="e">
        <f t="shared" si="9"/>
        <v>#REF!</v>
      </c>
    </row>
    <row r="104" spans="1:9" ht="12" customHeight="1" thickBot="1" x14ac:dyDescent="0.3">
      <c r="A104" s="12" t="s">
        <v>113</v>
      </c>
      <c r="B104" s="72" t="s">
        <v>291</v>
      </c>
      <c r="C104" s="436">
        <f t="shared" si="8"/>
        <v>0</v>
      </c>
      <c r="D104" s="269"/>
      <c r="E104" s="189"/>
      <c r="F104" s="189"/>
      <c r="H104" s="385" t="e">
        <f>'1.2.sz.mell. '!C104+'1.3.sz.mell.'!C104+#REF!+#REF!</f>
        <v>#REF!</v>
      </c>
      <c r="I104" s="387" t="e">
        <f t="shared" si="9"/>
        <v>#REF!</v>
      </c>
    </row>
    <row r="105" spans="1:9" ht="12" customHeight="1" thickBot="1" x14ac:dyDescent="0.3">
      <c r="A105" s="12" t="s">
        <v>115</v>
      </c>
      <c r="B105" s="71" t="s">
        <v>292</v>
      </c>
      <c r="C105" s="436">
        <f t="shared" si="8"/>
        <v>4012934</v>
      </c>
      <c r="D105" s="269">
        <f>523000+67500+3422434</f>
        <v>4012934</v>
      </c>
      <c r="E105" s="189"/>
      <c r="F105" s="189"/>
      <c r="H105" s="385" t="e">
        <f>'1.2.sz.mell. '!C105+'1.3.sz.mell.'!C105+#REF!+#REF!</f>
        <v>#REF!</v>
      </c>
      <c r="I105" s="387" t="e">
        <f t="shared" si="9"/>
        <v>#REF!</v>
      </c>
    </row>
    <row r="106" spans="1:9" ht="12" customHeight="1" thickBot="1" x14ac:dyDescent="0.3">
      <c r="A106" s="12" t="s">
        <v>147</v>
      </c>
      <c r="B106" s="71" t="s">
        <v>293</v>
      </c>
      <c r="C106" s="436">
        <f t="shared" si="8"/>
        <v>0</v>
      </c>
      <c r="D106" s="269"/>
      <c r="E106" s="189"/>
      <c r="F106" s="189"/>
      <c r="H106" s="385" t="e">
        <f>'1.2.sz.mell. '!C106+'1.3.sz.mell.'!C106+#REF!+#REF!</f>
        <v>#REF!</v>
      </c>
      <c r="I106" s="387" t="e">
        <f t="shared" si="9"/>
        <v>#REF!</v>
      </c>
    </row>
    <row r="107" spans="1:9" ht="12" customHeight="1" thickBot="1" x14ac:dyDescent="0.3">
      <c r="A107" s="12" t="s">
        <v>287</v>
      </c>
      <c r="B107" s="72" t="s">
        <v>294</v>
      </c>
      <c r="C107" s="436">
        <f t="shared" si="8"/>
        <v>15400000</v>
      </c>
      <c r="D107" s="269">
        <f>400000+15000000</f>
        <v>15400000</v>
      </c>
      <c r="E107" s="189"/>
      <c r="F107" s="189"/>
      <c r="H107" s="385" t="e">
        <f>'1.2.sz.mell. '!C107+'1.3.sz.mell.'!C107+#REF!+#REF!</f>
        <v>#REF!</v>
      </c>
      <c r="I107" s="387" t="e">
        <f t="shared" si="9"/>
        <v>#REF!</v>
      </c>
    </row>
    <row r="108" spans="1:9" ht="12" customHeight="1" thickBot="1" x14ac:dyDescent="0.3">
      <c r="A108" s="11" t="s">
        <v>288</v>
      </c>
      <c r="B108" s="73" t="s">
        <v>295</v>
      </c>
      <c r="C108" s="436">
        <f t="shared" si="8"/>
        <v>0</v>
      </c>
      <c r="D108" s="269"/>
      <c r="E108" s="189"/>
      <c r="F108" s="189"/>
      <c r="H108" s="385" t="e">
        <f>'1.2.sz.mell. '!C108+'1.3.sz.mell.'!C108+#REF!+#REF!</f>
        <v>#REF!</v>
      </c>
      <c r="I108" s="387" t="e">
        <f t="shared" si="9"/>
        <v>#REF!</v>
      </c>
    </row>
    <row r="109" spans="1:9" ht="12" customHeight="1" thickBot="1" x14ac:dyDescent="0.3">
      <c r="A109" s="12" t="s">
        <v>460</v>
      </c>
      <c r="B109" s="73" t="s">
        <v>296</v>
      </c>
      <c r="C109" s="436">
        <f t="shared" si="8"/>
        <v>0</v>
      </c>
      <c r="D109" s="269"/>
      <c r="E109" s="189"/>
      <c r="F109" s="189"/>
      <c r="H109" s="385" t="e">
        <f>'1.2.sz.mell. '!C109+'1.3.sz.mell.'!C109+#REF!+#REF!</f>
        <v>#REF!</v>
      </c>
      <c r="I109" s="387" t="e">
        <f t="shared" si="9"/>
        <v>#REF!</v>
      </c>
    </row>
    <row r="110" spans="1:9" ht="12" customHeight="1" thickBot="1" x14ac:dyDescent="0.3">
      <c r="A110" s="14" t="s">
        <v>461</v>
      </c>
      <c r="B110" s="73" t="s">
        <v>297</v>
      </c>
      <c r="C110" s="922">
        <f t="shared" si="8"/>
        <v>233322828</v>
      </c>
      <c r="D110" s="265">
        <f>1000000+47869145+6604733+15489215+46984511+23326783+69312000+7332000+1437616+580000+1338067-7332000+9625137+15000000+5755621-15000000+4000000</f>
        <v>233322828</v>
      </c>
      <c r="E110" s="126"/>
      <c r="F110" s="189"/>
      <c r="H110" s="385" t="e">
        <f>'1.2.sz.mell. '!C110+'1.3.sz.mell.'!C110+#REF!+#REF!</f>
        <v>#REF!</v>
      </c>
      <c r="I110" s="387" t="e">
        <f t="shared" si="9"/>
        <v>#REF!</v>
      </c>
    </row>
    <row r="111" spans="1:9" ht="12" customHeight="1" thickBot="1" x14ac:dyDescent="0.3">
      <c r="A111" s="12" t="s">
        <v>462</v>
      </c>
      <c r="B111" s="6" t="s">
        <v>50</v>
      </c>
      <c r="C111" s="918">
        <f t="shared" si="8"/>
        <v>62980742</v>
      </c>
      <c r="D111" s="265">
        <f>SUM(D112:D113)</f>
        <v>62980742</v>
      </c>
      <c r="E111" s="265">
        <f t="shared" ref="E111" si="11">SUM(E112:E113)</f>
        <v>0</v>
      </c>
      <c r="F111" s="126"/>
      <c r="H111" s="385" t="e">
        <f>'1.2.sz.mell. '!C111+'1.3.sz.mell.'!C111+#REF!+#REF!</f>
        <v>#REF!</v>
      </c>
      <c r="I111" s="387" t="e">
        <f t="shared" si="9"/>
        <v>#REF!</v>
      </c>
    </row>
    <row r="112" spans="1:9" ht="12" customHeight="1" thickBot="1" x14ac:dyDescent="0.3">
      <c r="A112" s="12" t="s">
        <v>463</v>
      </c>
      <c r="B112" s="6" t="s">
        <v>464</v>
      </c>
      <c r="C112" s="922">
        <f t="shared" si="8"/>
        <v>5503282</v>
      </c>
      <c r="D112" s="269">
        <f>15000000-580000+1410503+2373731-7043400-2785664-230000+1903020-5520064+42419195-2253677-6432757-11677120-1761209-23319276+4000000</f>
        <v>5503282</v>
      </c>
      <c r="E112" s="189"/>
      <c r="F112" s="126"/>
      <c r="H112" s="385" t="e">
        <f>'1.2.sz.mell. '!C112+'1.3.sz.mell.'!C112+#REF!+#REF!</f>
        <v>#REF!</v>
      </c>
      <c r="I112" s="387" t="e">
        <f t="shared" si="9"/>
        <v>#REF!</v>
      </c>
    </row>
    <row r="113" spans="1:9" ht="12" customHeight="1" thickBot="1" x14ac:dyDescent="0.3">
      <c r="A113" s="16" t="s">
        <v>465</v>
      </c>
      <c r="B113" s="253" t="s">
        <v>466</v>
      </c>
      <c r="C113" s="922">
        <f t="shared" si="8"/>
        <v>57477460</v>
      </c>
      <c r="D113" s="301">
        <f>63390965+131495-200000-100000-3560000-150000+5985000-420000-3000000-4600000</f>
        <v>57477460</v>
      </c>
      <c r="E113" s="278"/>
      <c r="F113" s="278"/>
      <c r="H113" s="385" t="e">
        <f>'1.2.sz.mell. '!C113+'1.3.sz.mell.'!C113+#REF!+#REF!</f>
        <v>#REF!</v>
      </c>
      <c r="I113" s="388" t="e">
        <f t="shared" si="9"/>
        <v>#REF!</v>
      </c>
    </row>
    <row r="114" spans="1:9" ht="12" customHeight="1" thickBot="1" x14ac:dyDescent="0.3">
      <c r="A114" s="254" t="s">
        <v>20</v>
      </c>
      <c r="B114" s="438" t="s">
        <v>298</v>
      </c>
      <c r="C114" s="441">
        <f t="shared" si="8"/>
        <v>1401755743</v>
      </c>
      <c r="D114" s="281">
        <f>+D115+D117+D119</f>
        <v>1378219739</v>
      </c>
      <c r="E114" s="122">
        <f>+E115+E117+E119</f>
        <v>3585917</v>
      </c>
      <c r="F114" s="256">
        <f>+F115+F117+F119</f>
        <v>19950087</v>
      </c>
      <c r="H114" s="385" t="e">
        <f>'1.2.sz.mell. '!C114+'1.3.sz.mell.'!C114+#REF!+#REF!</f>
        <v>#REF!</v>
      </c>
      <c r="I114" s="385" t="e">
        <f t="shared" si="9"/>
        <v>#REF!</v>
      </c>
    </row>
    <row r="115" spans="1:9" ht="15" customHeight="1" thickBot="1" x14ac:dyDescent="0.3">
      <c r="A115" s="13" t="s">
        <v>101</v>
      </c>
      <c r="B115" s="6" t="s">
        <v>163</v>
      </c>
      <c r="C115" s="922">
        <f t="shared" si="8"/>
        <v>871677031</v>
      </c>
      <c r="D115" s="285">
        <f>229989520+300000+13809000+835610+12076323+1270000+359410+4508500+2505001+5000+6704583+82307980+1223250+7585116+230000+1654000+287441270-23353056+213461550+364966+5057620+1670584-900000</f>
        <v>849106227</v>
      </c>
      <c r="E115" s="238">
        <f>3355917+230000</f>
        <v>3585917</v>
      </c>
      <c r="F115" s="238">
        <f>506050+641350+1986214+1926590+13924683</f>
        <v>18984887</v>
      </c>
      <c r="H115" s="385" t="e">
        <f>'1.2.sz.mell. '!C115+'1.3.sz.mell.'!C115+#REF!+#REF!</f>
        <v>#REF!</v>
      </c>
      <c r="I115" s="386" t="e">
        <f t="shared" si="9"/>
        <v>#REF!</v>
      </c>
    </row>
    <row r="116" spans="1:9" ht="12" customHeight="1" thickBot="1" x14ac:dyDescent="0.3">
      <c r="A116" s="13" t="s">
        <v>102</v>
      </c>
      <c r="B116" s="10" t="s">
        <v>302</v>
      </c>
      <c r="C116" s="922">
        <f t="shared" si="8"/>
        <v>714714839</v>
      </c>
      <c r="D116" s="285">
        <f>156693000+42191010+12076323+6704583+82307980+284790300-23353056+152706150-19102-100000</f>
        <v>713997188</v>
      </c>
      <c r="E116" s="238"/>
      <c r="F116" s="238">
        <v>717651</v>
      </c>
      <c r="H116" s="385" t="e">
        <f>'1.2.sz.mell. '!C116+'1.3.sz.mell.'!C116+#REF!+#REF!</f>
        <v>#REF!</v>
      </c>
      <c r="I116" s="387" t="e">
        <f t="shared" si="9"/>
        <v>#REF!</v>
      </c>
    </row>
    <row r="117" spans="1:9" ht="12" customHeight="1" thickBot="1" x14ac:dyDescent="0.3">
      <c r="A117" s="13" t="s">
        <v>103</v>
      </c>
      <c r="B117" s="10" t="s">
        <v>148</v>
      </c>
      <c r="C117" s="922">
        <f t="shared" si="8"/>
        <v>502850626</v>
      </c>
      <c r="D117" s="265">
        <f>9517731+51474577+42450993+1905000-75600+81765265+315941060+88900-1182500</f>
        <v>501885426</v>
      </c>
      <c r="E117" s="126"/>
      <c r="F117" s="126">
        <v>965200</v>
      </c>
      <c r="H117" s="385" t="e">
        <f>'1.2.sz.mell. '!C117+'1.3.sz.mell.'!C117+#REF!+#REF!</f>
        <v>#REF!</v>
      </c>
      <c r="I117" s="387" t="e">
        <f t="shared" si="9"/>
        <v>#REF!</v>
      </c>
    </row>
    <row r="118" spans="1:9" ht="12" customHeight="1" thickBot="1" x14ac:dyDescent="0.3">
      <c r="A118" s="13" t="s">
        <v>104</v>
      </c>
      <c r="B118" s="10" t="s">
        <v>303</v>
      </c>
      <c r="C118" s="922">
        <f t="shared" si="8"/>
        <v>149871308</v>
      </c>
      <c r="D118" s="265">
        <f>28614577+42450993-1206500+80112238-100000</f>
        <v>149871308</v>
      </c>
      <c r="E118" s="550"/>
      <c r="F118" s="265"/>
      <c r="H118" s="385" t="e">
        <f>'1.2.sz.mell. '!C118+'1.3.sz.mell.'!C118+#REF!+#REF!</f>
        <v>#REF!</v>
      </c>
      <c r="I118" s="387" t="e">
        <f t="shared" si="9"/>
        <v>#REF!</v>
      </c>
    </row>
    <row r="119" spans="1:9" ht="12" customHeight="1" thickBot="1" x14ac:dyDescent="0.3">
      <c r="A119" s="13" t="s">
        <v>105</v>
      </c>
      <c r="B119" s="119" t="s">
        <v>165</v>
      </c>
      <c r="C119" s="436">
        <f t="shared" si="8"/>
        <v>27228086</v>
      </c>
      <c r="D119" s="265">
        <f>SUM(D120:D127)</f>
        <v>27228086</v>
      </c>
      <c r="E119" s="265">
        <f t="shared" ref="E119" si="12">SUM(E120:E127)</f>
        <v>0</v>
      </c>
      <c r="F119" s="265"/>
      <c r="H119" s="385" t="e">
        <f>'1.2.sz.mell. '!C119+'1.3.sz.mell.'!C119+#REF!+#REF!</f>
        <v>#REF!</v>
      </c>
      <c r="I119" s="387" t="e">
        <f t="shared" si="9"/>
        <v>#REF!</v>
      </c>
    </row>
    <row r="120" spans="1:9" ht="12" customHeight="1" thickBot="1" x14ac:dyDescent="0.3">
      <c r="A120" s="13" t="s">
        <v>114</v>
      </c>
      <c r="B120" s="118" t="s">
        <v>365</v>
      </c>
      <c r="C120" s="436">
        <f t="shared" si="8"/>
        <v>0</v>
      </c>
      <c r="D120" s="111"/>
      <c r="E120" s="111"/>
      <c r="F120" s="265"/>
      <c r="H120" s="385" t="e">
        <f>'1.2.sz.mell. '!C120+'1.3.sz.mell.'!C120+#REF!+#REF!</f>
        <v>#REF!</v>
      </c>
      <c r="I120" s="387" t="e">
        <f t="shared" si="9"/>
        <v>#REF!</v>
      </c>
    </row>
    <row r="121" spans="1:9" ht="12" customHeight="1" thickBot="1" x14ac:dyDescent="0.3">
      <c r="A121" s="13" t="s">
        <v>116</v>
      </c>
      <c r="B121" s="196" t="s">
        <v>308</v>
      </c>
      <c r="C121" s="436">
        <f t="shared" si="8"/>
        <v>0</v>
      </c>
      <c r="D121" s="111"/>
      <c r="E121" s="111"/>
      <c r="F121" s="265"/>
      <c r="H121" s="385" t="e">
        <f>'1.2.sz.mell. '!C121+'1.3.sz.mell.'!C121+#REF!+#REF!</f>
        <v>#REF!</v>
      </c>
      <c r="I121" s="387" t="e">
        <f t="shared" si="9"/>
        <v>#REF!</v>
      </c>
    </row>
    <row r="122" spans="1:9" ht="16.5" thickBot="1" x14ac:dyDescent="0.3">
      <c r="A122" s="13" t="s">
        <v>149</v>
      </c>
      <c r="B122" s="72" t="s">
        <v>291</v>
      </c>
      <c r="C122" s="436">
        <f t="shared" si="8"/>
        <v>0</v>
      </c>
      <c r="D122" s="111"/>
      <c r="E122" s="111"/>
      <c r="F122" s="265"/>
      <c r="H122" s="385" t="e">
        <f>'1.2.sz.mell. '!C122+'1.3.sz.mell.'!C122+#REF!+#REF!</f>
        <v>#REF!</v>
      </c>
      <c r="I122" s="387" t="e">
        <f t="shared" si="9"/>
        <v>#REF!</v>
      </c>
    </row>
    <row r="123" spans="1:9" ht="12" customHeight="1" thickBot="1" x14ac:dyDescent="0.3">
      <c r="A123" s="13" t="s">
        <v>150</v>
      </c>
      <c r="B123" s="72" t="s">
        <v>307</v>
      </c>
      <c r="C123" s="436">
        <f t="shared" si="8"/>
        <v>308980</v>
      </c>
      <c r="D123" s="111">
        <v>308980</v>
      </c>
      <c r="E123" s="111"/>
      <c r="F123" s="265"/>
      <c r="H123" s="385" t="e">
        <f>'1.2.sz.mell. '!C123+'1.3.sz.mell.'!C123+#REF!+#REF!</f>
        <v>#REF!</v>
      </c>
      <c r="I123" s="387" t="e">
        <f t="shared" si="9"/>
        <v>#REF!</v>
      </c>
    </row>
    <row r="124" spans="1:9" ht="12" customHeight="1" thickBot="1" x14ac:dyDescent="0.3">
      <c r="A124" s="13" t="s">
        <v>151</v>
      </c>
      <c r="B124" s="72" t="s">
        <v>306</v>
      </c>
      <c r="C124" s="436">
        <f t="shared" si="8"/>
        <v>0</v>
      </c>
      <c r="D124" s="111"/>
      <c r="E124" s="111"/>
      <c r="F124" s="265"/>
      <c r="H124" s="385" t="e">
        <f>'1.2.sz.mell. '!C124+'1.3.sz.mell.'!C124+#REF!+#REF!</f>
        <v>#REF!</v>
      </c>
      <c r="I124" s="387" t="e">
        <f t="shared" si="9"/>
        <v>#REF!</v>
      </c>
    </row>
    <row r="125" spans="1:9" ht="12" customHeight="1" thickBot="1" x14ac:dyDescent="0.3">
      <c r="A125" s="13" t="s">
        <v>299</v>
      </c>
      <c r="B125" s="72" t="s">
        <v>294</v>
      </c>
      <c r="C125" s="436">
        <f t="shared" ref="C125:C154" si="13">SUM(D125:F125)</f>
        <v>0</v>
      </c>
      <c r="D125" s="111"/>
      <c r="E125" s="111"/>
      <c r="F125" s="265"/>
      <c r="H125" s="385" t="e">
        <f>'1.2.sz.mell. '!C125+'1.3.sz.mell.'!C125+#REF!+#REF!</f>
        <v>#REF!</v>
      </c>
      <c r="I125" s="387" t="e">
        <f t="shared" ref="I125:I154" si="14">C125-H125</f>
        <v>#REF!</v>
      </c>
    </row>
    <row r="126" spans="1:9" ht="12" customHeight="1" thickBot="1" x14ac:dyDescent="0.3">
      <c r="A126" s="13" t="s">
        <v>300</v>
      </c>
      <c r="B126" s="72" t="s">
        <v>305</v>
      </c>
      <c r="C126" s="436">
        <f t="shared" si="13"/>
        <v>0</v>
      </c>
      <c r="D126" s="111"/>
      <c r="E126" s="111"/>
      <c r="F126" s="265"/>
      <c r="H126" s="385" t="e">
        <f>'1.2.sz.mell. '!C126+'1.3.sz.mell.'!C126+#REF!+#REF!</f>
        <v>#REF!</v>
      </c>
      <c r="I126" s="387" t="e">
        <f t="shared" si="14"/>
        <v>#REF!</v>
      </c>
    </row>
    <row r="127" spans="1:9" ht="16.5" thickBot="1" x14ac:dyDescent="0.3">
      <c r="A127" s="11" t="s">
        <v>301</v>
      </c>
      <c r="B127" s="72" t="s">
        <v>304</v>
      </c>
      <c r="C127" s="436">
        <f t="shared" si="13"/>
        <v>26919106</v>
      </c>
      <c r="D127" s="269">
        <f>650000+26269106</f>
        <v>26919106</v>
      </c>
      <c r="E127" s="269"/>
      <c r="F127" s="269"/>
      <c r="H127" s="385" t="e">
        <f>'1.2.sz.mell. '!C127+'1.3.sz.mell.'!C127+#REF!+#REF!</f>
        <v>#REF!</v>
      </c>
      <c r="I127" s="388" t="e">
        <f t="shared" si="14"/>
        <v>#REF!</v>
      </c>
    </row>
    <row r="128" spans="1:9" ht="12" customHeight="1" thickBot="1" x14ac:dyDescent="0.3">
      <c r="A128" s="18" t="s">
        <v>21</v>
      </c>
      <c r="B128" s="439" t="s">
        <v>467</v>
      </c>
      <c r="C128" s="441">
        <f t="shared" si="13"/>
        <v>4066685807</v>
      </c>
      <c r="D128" s="281">
        <f>+D93+D114</f>
        <v>2204089553</v>
      </c>
      <c r="E128" s="122">
        <f>+E93+E114</f>
        <v>227256857</v>
      </c>
      <c r="F128" s="122">
        <f>+F93+F114</f>
        <v>1635339397</v>
      </c>
      <c r="H128" s="385" t="e">
        <f>'1.2.sz.mell. '!C128+'1.3.sz.mell.'!C128+#REF!+#REF!</f>
        <v>#REF!</v>
      </c>
      <c r="I128" s="385" t="e">
        <f t="shared" si="14"/>
        <v>#REF!</v>
      </c>
    </row>
    <row r="129" spans="1:9" ht="12" customHeight="1" thickBot="1" x14ac:dyDescent="0.3">
      <c r="A129" s="18" t="s">
        <v>22</v>
      </c>
      <c r="B129" s="439" t="s">
        <v>468</v>
      </c>
      <c r="C129" s="441">
        <f t="shared" si="13"/>
        <v>116952500</v>
      </c>
      <c r="D129" s="281">
        <f>+D130+D131+D132</f>
        <v>116952500</v>
      </c>
      <c r="E129" s="122">
        <f>+E130+E131+E132</f>
        <v>0</v>
      </c>
      <c r="F129" s="122">
        <f>+F130+F131+F132</f>
        <v>0</v>
      </c>
      <c r="H129" s="385" t="e">
        <f>'1.2.sz.mell. '!C129+'1.3.sz.mell.'!C129+#REF!+#REF!</f>
        <v>#REF!</v>
      </c>
      <c r="I129" s="385" t="e">
        <f t="shared" si="14"/>
        <v>#REF!</v>
      </c>
    </row>
    <row r="130" spans="1:9" ht="12" customHeight="1" thickBot="1" x14ac:dyDescent="0.3">
      <c r="A130" s="13" t="s">
        <v>200</v>
      </c>
      <c r="B130" s="10" t="s">
        <v>469</v>
      </c>
      <c r="C130" s="436">
        <f t="shared" si="13"/>
        <v>16952500</v>
      </c>
      <c r="D130" s="265">
        <f>11674500+5278000</f>
        <v>16952500</v>
      </c>
      <c r="E130" s="265"/>
      <c r="F130" s="265"/>
      <c r="H130" s="385" t="e">
        <f>'1.2.sz.mell. '!C130+'1.3.sz.mell.'!C130+#REF!+#REF!</f>
        <v>#REF!</v>
      </c>
      <c r="I130" s="386" t="e">
        <f t="shared" si="14"/>
        <v>#REF!</v>
      </c>
    </row>
    <row r="131" spans="1:9" ht="12" customHeight="1" thickBot="1" x14ac:dyDescent="0.3">
      <c r="A131" s="13" t="s">
        <v>203</v>
      </c>
      <c r="B131" s="10" t="s">
        <v>470</v>
      </c>
      <c r="C131" s="436">
        <f t="shared" si="13"/>
        <v>100000000</v>
      </c>
      <c r="D131" s="111">
        <v>100000000</v>
      </c>
      <c r="E131" s="111"/>
      <c r="F131" s="111"/>
      <c r="H131" s="385" t="e">
        <f>'1.2.sz.mell. '!C131+'1.3.sz.mell.'!C131+#REF!+#REF!</f>
        <v>#REF!</v>
      </c>
      <c r="I131" s="387" t="e">
        <f t="shared" si="14"/>
        <v>#REF!</v>
      </c>
    </row>
    <row r="132" spans="1:9" ht="12" customHeight="1" thickBot="1" x14ac:dyDescent="0.3">
      <c r="A132" s="11" t="s">
        <v>204</v>
      </c>
      <c r="B132" s="10" t="s">
        <v>471</v>
      </c>
      <c r="C132" s="510">
        <f t="shared" si="13"/>
        <v>0</v>
      </c>
      <c r="D132" s="111"/>
      <c r="E132" s="111"/>
      <c r="F132" s="111"/>
      <c r="H132" s="385" t="e">
        <f>'1.2.sz.mell. '!C132+'1.3.sz.mell.'!C132+#REF!+#REF!</f>
        <v>#REF!</v>
      </c>
      <c r="I132" s="388" t="e">
        <f t="shared" si="14"/>
        <v>#REF!</v>
      </c>
    </row>
    <row r="133" spans="1:9" ht="12" customHeight="1" thickBot="1" x14ac:dyDescent="0.3">
      <c r="A133" s="18" t="s">
        <v>23</v>
      </c>
      <c r="B133" s="439" t="s">
        <v>472</v>
      </c>
      <c r="C133" s="441">
        <f t="shared" si="13"/>
        <v>0</v>
      </c>
      <c r="D133" s="281">
        <f>+D134+D135+D136+D137+D138+D139</f>
        <v>0</v>
      </c>
      <c r="E133" s="122">
        <f>+E134+E135+E136+E137+E138+E139</f>
        <v>0</v>
      </c>
      <c r="F133" s="122">
        <f>SUM(F134:F139)</f>
        <v>0</v>
      </c>
      <c r="H133" s="385" t="e">
        <f>'1.2.sz.mell. '!C133+'1.3.sz.mell.'!C133+#REF!+#REF!</f>
        <v>#REF!</v>
      </c>
      <c r="I133" s="385" t="e">
        <f t="shared" si="14"/>
        <v>#REF!</v>
      </c>
    </row>
    <row r="134" spans="1:9" ht="12" customHeight="1" thickBot="1" x14ac:dyDescent="0.3">
      <c r="A134" s="13" t="s">
        <v>88</v>
      </c>
      <c r="B134" s="7" t="s">
        <v>473</v>
      </c>
      <c r="C134" s="436">
        <f t="shared" si="13"/>
        <v>0</v>
      </c>
      <c r="D134" s="111"/>
      <c r="E134" s="111"/>
      <c r="F134" s="111"/>
      <c r="H134" s="385" t="e">
        <f>'1.2.sz.mell. '!C134+'1.3.sz.mell.'!C134+#REF!+#REF!</f>
        <v>#REF!</v>
      </c>
      <c r="I134" s="386" t="e">
        <f t="shared" si="14"/>
        <v>#REF!</v>
      </c>
    </row>
    <row r="135" spans="1:9" ht="12" customHeight="1" thickBot="1" x14ac:dyDescent="0.3">
      <c r="A135" s="13" t="s">
        <v>89</v>
      </c>
      <c r="B135" s="7" t="s">
        <v>474</v>
      </c>
      <c r="C135" s="436">
        <f t="shared" si="13"/>
        <v>0</v>
      </c>
      <c r="D135" s="111"/>
      <c r="E135" s="111"/>
      <c r="F135" s="111"/>
      <c r="H135" s="385" t="e">
        <f>'1.2.sz.mell. '!C135+'1.3.sz.mell.'!C135+#REF!+#REF!</f>
        <v>#REF!</v>
      </c>
      <c r="I135" s="387" t="e">
        <f t="shared" si="14"/>
        <v>#REF!</v>
      </c>
    </row>
    <row r="136" spans="1:9" ht="12" customHeight="1" thickBot="1" x14ac:dyDescent="0.3">
      <c r="A136" s="13" t="s">
        <v>90</v>
      </c>
      <c r="B136" s="7" t="s">
        <v>475</v>
      </c>
      <c r="C136" s="436">
        <f t="shared" si="13"/>
        <v>0</v>
      </c>
      <c r="D136" s="111"/>
      <c r="E136" s="111"/>
      <c r="F136" s="111"/>
      <c r="H136" s="385" t="e">
        <f>'1.2.sz.mell. '!C136+'1.3.sz.mell.'!C136+#REF!+#REF!</f>
        <v>#REF!</v>
      </c>
      <c r="I136" s="387" t="e">
        <f t="shared" si="14"/>
        <v>#REF!</v>
      </c>
    </row>
    <row r="137" spans="1:9" ht="12" customHeight="1" thickBot="1" x14ac:dyDescent="0.3">
      <c r="A137" s="13" t="s">
        <v>136</v>
      </c>
      <c r="B137" s="7" t="s">
        <v>476</v>
      </c>
      <c r="C137" s="436">
        <f t="shared" si="13"/>
        <v>0</v>
      </c>
      <c r="D137" s="111"/>
      <c r="E137" s="111"/>
      <c r="F137" s="111"/>
      <c r="H137" s="385" t="e">
        <f>'1.2.sz.mell. '!C137+'1.3.sz.mell.'!C137+#REF!+#REF!</f>
        <v>#REF!</v>
      </c>
      <c r="I137" s="387" t="e">
        <f t="shared" si="14"/>
        <v>#REF!</v>
      </c>
    </row>
    <row r="138" spans="1:9" ht="12" customHeight="1" thickBot="1" x14ac:dyDescent="0.3">
      <c r="A138" s="13" t="s">
        <v>137</v>
      </c>
      <c r="B138" s="7" t="s">
        <v>477</v>
      </c>
      <c r="C138" s="436">
        <f t="shared" si="13"/>
        <v>0</v>
      </c>
      <c r="D138" s="111"/>
      <c r="E138" s="111"/>
      <c r="F138" s="111"/>
      <c r="H138" s="385" t="e">
        <f>'1.2.sz.mell. '!C138+'1.3.sz.mell.'!C138+#REF!+#REF!</f>
        <v>#REF!</v>
      </c>
      <c r="I138" s="387" t="e">
        <f t="shared" si="14"/>
        <v>#REF!</v>
      </c>
    </row>
    <row r="139" spans="1:9" ht="12" customHeight="1" thickBot="1" x14ac:dyDescent="0.3">
      <c r="A139" s="11" t="s">
        <v>138</v>
      </c>
      <c r="B139" s="7" t="s">
        <v>478</v>
      </c>
      <c r="C139" s="510">
        <f t="shared" si="13"/>
        <v>0</v>
      </c>
      <c r="D139" s="111"/>
      <c r="E139" s="111"/>
      <c r="F139" s="111"/>
      <c r="H139" s="385" t="e">
        <f>'1.2.sz.mell. '!C139+'1.3.sz.mell.'!C139+#REF!+#REF!</f>
        <v>#REF!</v>
      </c>
      <c r="I139" s="388" t="e">
        <f t="shared" si="14"/>
        <v>#REF!</v>
      </c>
    </row>
    <row r="140" spans="1:9" ht="12" customHeight="1" thickBot="1" x14ac:dyDescent="0.3">
      <c r="A140" s="18" t="s">
        <v>24</v>
      </c>
      <c r="B140" s="439" t="s">
        <v>479</v>
      </c>
      <c r="C140" s="441">
        <f t="shared" si="13"/>
        <v>41904332</v>
      </c>
      <c r="D140" s="284">
        <f>+D141+D142+D143+D144</f>
        <v>41904332</v>
      </c>
      <c r="E140" s="127">
        <f>+E141+E142+E143+E144</f>
        <v>0</v>
      </c>
      <c r="F140" s="127">
        <f>+F141+F142+F143+F144</f>
        <v>0</v>
      </c>
      <c r="H140" s="385" t="e">
        <f>'1.2.sz.mell. '!C140+'1.3.sz.mell.'!C140+#REF!+#REF!</f>
        <v>#REF!</v>
      </c>
      <c r="I140" s="385" t="e">
        <f t="shared" si="14"/>
        <v>#REF!</v>
      </c>
    </row>
    <row r="141" spans="1:9" ht="12" customHeight="1" thickBot="1" x14ac:dyDescent="0.3">
      <c r="A141" s="13" t="s">
        <v>91</v>
      </c>
      <c r="B141" s="7" t="s">
        <v>309</v>
      </c>
      <c r="C141" s="437">
        <f t="shared" si="13"/>
        <v>0</v>
      </c>
      <c r="D141" s="111"/>
      <c r="E141" s="111"/>
      <c r="F141" s="111"/>
      <c r="H141" s="385" t="e">
        <f>'1.2.sz.mell. '!C141+'1.3.sz.mell.'!C141+#REF!+#REF!</f>
        <v>#REF!</v>
      </c>
      <c r="I141" s="386" t="e">
        <f t="shared" si="14"/>
        <v>#REF!</v>
      </c>
    </row>
    <row r="142" spans="1:9" ht="12" customHeight="1" thickBot="1" x14ac:dyDescent="0.3">
      <c r="A142" s="13" t="s">
        <v>92</v>
      </c>
      <c r="B142" s="7" t="s">
        <v>310</v>
      </c>
      <c r="C142" s="436">
        <f t="shared" si="13"/>
        <v>41904332</v>
      </c>
      <c r="D142" s="111">
        <f>41904332</f>
        <v>41904332</v>
      </c>
      <c r="E142" s="111"/>
      <c r="F142" s="111"/>
      <c r="H142" s="385" t="e">
        <f>'1.2.sz.mell. '!C142+'1.3.sz.mell.'!C142+#REF!+#REF!</f>
        <v>#REF!</v>
      </c>
      <c r="I142" s="387" t="e">
        <f t="shared" si="14"/>
        <v>#REF!</v>
      </c>
    </row>
    <row r="143" spans="1:9" ht="12" customHeight="1" thickBot="1" x14ac:dyDescent="0.3">
      <c r="A143" s="13" t="s">
        <v>223</v>
      </c>
      <c r="B143" s="7" t="s">
        <v>480</v>
      </c>
      <c r="C143" s="437">
        <f t="shared" si="13"/>
        <v>0</v>
      </c>
      <c r="D143" s="111"/>
      <c r="E143" s="111"/>
      <c r="F143" s="111"/>
      <c r="H143" s="385" t="e">
        <f>'1.2.sz.mell. '!C143+'1.3.sz.mell.'!C143+#REF!+#REF!</f>
        <v>#REF!</v>
      </c>
      <c r="I143" s="387" t="e">
        <f t="shared" si="14"/>
        <v>#REF!</v>
      </c>
    </row>
    <row r="144" spans="1:9" ht="12" customHeight="1" thickBot="1" x14ac:dyDescent="0.3">
      <c r="A144" s="11" t="s">
        <v>224</v>
      </c>
      <c r="B144" s="5" t="s">
        <v>328</v>
      </c>
      <c r="C144" s="440">
        <f t="shared" si="13"/>
        <v>0</v>
      </c>
      <c r="D144" s="111"/>
      <c r="E144" s="111"/>
      <c r="F144" s="111"/>
      <c r="H144" s="385" t="e">
        <f>'1.2.sz.mell. '!C144+'1.3.sz.mell.'!C144+#REF!+#REF!</f>
        <v>#REF!</v>
      </c>
      <c r="I144" s="388" t="e">
        <f t="shared" si="14"/>
        <v>#REF!</v>
      </c>
    </row>
    <row r="145" spans="1:9" ht="12" customHeight="1" thickBot="1" x14ac:dyDescent="0.3">
      <c r="A145" s="18" t="s">
        <v>25</v>
      </c>
      <c r="B145" s="439" t="s">
        <v>481</v>
      </c>
      <c r="C145" s="441">
        <f t="shared" si="13"/>
        <v>0</v>
      </c>
      <c r="D145" s="291">
        <f>+D146+D147+D148+D149+D150</f>
        <v>0</v>
      </c>
      <c r="E145" s="130">
        <f>+E146+E147+E148+E149+E150</f>
        <v>0</v>
      </c>
      <c r="F145" s="130">
        <f>SUM(F146:F150)</f>
        <v>0</v>
      </c>
      <c r="H145" s="385" t="e">
        <f>'1.2.sz.mell. '!C145+'1.3.sz.mell.'!C145+#REF!+#REF!</f>
        <v>#REF!</v>
      </c>
      <c r="I145" s="385" t="e">
        <f t="shared" si="14"/>
        <v>#REF!</v>
      </c>
    </row>
    <row r="146" spans="1:9" ht="12" customHeight="1" thickBot="1" x14ac:dyDescent="0.3">
      <c r="A146" s="13" t="s">
        <v>93</v>
      </c>
      <c r="B146" s="7" t="s">
        <v>482</v>
      </c>
      <c r="C146" s="437">
        <f t="shared" si="13"/>
        <v>0</v>
      </c>
      <c r="D146" s="111"/>
      <c r="E146" s="111"/>
      <c r="F146" s="111"/>
      <c r="H146" s="385" t="e">
        <f>'1.2.sz.mell. '!C146+'1.3.sz.mell.'!C146+#REF!+#REF!</f>
        <v>#REF!</v>
      </c>
      <c r="I146" s="386" t="e">
        <f t="shared" si="14"/>
        <v>#REF!</v>
      </c>
    </row>
    <row r="147" spans="1:9" ht="12" customHeight="1" thickBot="1" x14ac:dyDescent="0.3">
      <c r="A147" s="13" t="s">
        <v>94</v>
      </c>
      <c r="B147" s="7" t="s">
        <v>483</v>
      </c>
      <c r="C147" s="437">
        <f t="shared" si="13"/>
        <v>0</v>
      </c>
      <c r="D147" s="111"/>
      <c r="E147" s="111"/>
      <c r="F147" s="111"/>
      <c r="H147" s="385" t="e">
        <f>'1.2.sz.mell. '!C147+'1.3.sz.mell.'!C147+#REF!+#REF!</f>
        <v>#REF!</v>
      </c>
      <c r="I147" s="387" t="e">
        <f t="shared" si="14"/>
        <v>#REF!</v>
      </c>
    </row>
    <row r="148" spans="1:9" ht="12" customHeight="1" thickBot="1" x14ac:dyDescent="0.3">
      <c r="A148" s="13" t="s">
        <v>235</v>
      </c>
      <c r="B148" s="7" t="s">
        <v>484</v>
      </c>
      <c r="C148" s="437">
        <f t="shared" si="13"/>
        <v>0</v>
      </c>
      <c r="D148" s="111"/>
      <c r="E148" s="111"/>
      <c r="F148" s="111"/>
      <c r="H148" s="385" t="e">
        <f>'1.2.sz.mell. '!C148+'1.3.sz.mell.'!C148+#REF!+#REF!</f>
        <v>#REF!</v>
      </c>
      <c r="I148" s="387" t="e">
        <f t="shared" si="14"/>
        <v>#REF!</v>
      </c>
    </row>
    <row r="149" spans="1:9" ht="12" customHeight="1" thickBot="1" x14ac:dyDescent="0.3">
      <c r="A149" s="13" t="s">
        <v>236</v>
      </c>
      <c r="B149" s="7" t="s">
        <v>485</v>
      </c>
      <c r="C149" s="437">
        <f t="shared" si="13"/>
        <v>0</v>
      </c>
      <c r="D149" s="111"/>
      <c r="E149" s="111"/>
      <c r="F149" s="111"/>
      <c r="H149" s="385" t="e">
        <f>'1.2.sz.mell. '!C149+'1.3.sz.mell.'!C149+#REF!+#REF!</f>
        <v>#REF!</v>
      </c>
      <c r="I149" s="387" t="e">
        <f t="shared" si="14"/>
        <v>#REF!</v>
      </c>
    </row>
    <row r="150" spans="1:9" ht="12" customHeight="1" thickBot="1" x14ac:dyDescent="0.3">
      <c r="A150" s="13" t="s">
        <v>486</v>
      </c>
      <c r="B150" s="7" t="s">
        <v>487</v>
      </c>
      <c r="C150" s="440">
        <f t="shared" si="13"/>
        <v>0</v>
      </c>
      <c r="D150" s="112"/>
      <c r="E150" s="112"/>
      <c r="F150" s="111"/>
      <c r="H150" s="385" t="e">
        <f>'1.2.sz.mell. '!C150+'1.3.sz.mell.'!C150+#REF!+#REF!</f>
        <v>#REF!</v>
      </c>
      <c r="I150" s="388" t="e">
        <f t="shared" si="14"/>
        <v>#REF!</v>
      </c>
    </row>
    <row r="151" spans="1:9" ht="12" customHeight="1" thickBot="1" x14ac:dyDescent="0.3">
      <c r="A151" s="18" t="s">
        <v>26</v>
      </c>
      <c r="B151" s="439" t="s">
        <v>488</v>
      </c>
      <c r="C151" s="441">
        <f t="shared" si="13"/>
        <v>0</v>
      </c>
      <c r="D151" s="291"/>
      <c r="E151" s="130"/>
      <c r="F151" s="257"/>
      <c r="H151" s="385" t="e">
        <f>'1.2.sz.mell. '!C151+'1.3.sz.mell.'!C151+#REF!+#REF!</f>
        <v>#REF!</v>
      </c>
      <c r="I151" s="385" t="e">
        <f t="shared" si="14"/>
        <v>#REF!</v>
      </c>
    </row>
    <row r="152" spans="1:9" ht="12" customHeight="1" thickBot="1" x14ac:dyDescent="0.3">
      <c r="A152" s="18" t="s">
        <v>27</v>
      </c>
      <c r="B152" s="439" t="s">
        <v>489</v>
      </c>
      <c r="C152" s="441">
        <f t="shared" si="13"/>
        <v>0</v>
      </c>
      <c r="D152" s="291"/>
      <c r="E152" s="130"/>
      <c r="F152" s="257"/>
      <c r="H152" s="385" t="e">
        <f>'1.2.sz.mell. '!C152+'1.3.sz.mell.'!C152+#REF!+#REF!</f>
        <v>#REF!</v>
      </c>
      <c r="I152" s="385" t="e">
        <f t="shared" si="14"/>
        <v>#REF!</v>
      </c>
    </row>
    <row r="153" spans="1:9" ht="15" customHeight="1" thickBot="1" x14ac:dyDescent="0.3">
      <c r="A153" s="18" t="s">
        <v>28</v>
      </c>
      <c r="B153" s="439" t="s">
        <v>490</v>
      </c>
      <c r="C153" s="441">
        <f t="shared" si="13"/>
        <v>158856832</v>
      </c>
      <c r="D153" s="292">
        <f>+D129+D133+D140+D145+D151+D152</f>
        <v>158856832</v>
      </c>
      <c r="E153" s="210">
        <f>+E129+E133+E140+E145+E151+E152</f>
        <v>0</v>
      </c>
      <c r="F153" s="210">
        <f>+F129+F133+F140+F145+F151+F152</f>
        <v>0</v>
      </c>
      <c r="G153" s="211"/>
      <c r="H153" s="385" t="e">
        <f>'1.2.sz.mell. '!C153+'1.3.sz.mell.'!C153+#REF!+#REF!</f>
        <v>#REF!</v>
      </c>
      <c r="I153" s="385" t="e">
        <f t="shared" si="14"/>
        <v>#REF!</v>
      </c>
    </row>
    <row r="154" spans="1:9" s="199" customFormat="1" ht="12.95" customHeight="1" thickBot="1" x14ac:dyDescent="0.25">
      <c r="A154" s="120" t="s">
        <v>29</v>
      </c>
      <c r="B154" s="442" t="s">
        <v>491</v>
      </c>
      <c r="C154" s="441">
        <f t="shared" si="13"/>
        <v>4225542639</v>
      </c>
      <c r="D154" s="292">
        <f>+D128+D153</f>
        <v>2362946385</v>
      </c>
      <c r="E154" s="210">
        <f>+E128+E153</f>
        <v>227256857</v>
      </c>
      <c r="F154" s="210">
        <f>+F128+F153</f>
        <v>1635339397</v>
      </c>
      <c r="H154" s="385" t="e">
        <f>'1.2.sz.mell. '!C154+'1.3.sz.mell.'!C154+#REF!+#REF!</f>
        <v>#REF!</v>
      </c>
      <c r="I154" s="385" t="e">
        <f t="shared" si="14"/>
        <v>#REF!</v>
      </c>
    </row>
    <row r="155" spans="1:9" ht="7.5" customHeight="1" x14ac:dyDescent="0.25">
      <c r="C155" s="187"/>
    </row>
    <row r="156" spans="1:9" x14ac:dyDescent="0.25">
      <c r="A156" s="1174" t="s">
        <v>311</v>
      </c>
      <c r="B156" s="1174"/>
      <c r="C156" s="1174"/>
    </row>
    <row r="157" spans="1:9" ht="15" customHeight="1" thickBot="1" x14ac:dyDescent="0.3">
      <c r="A157" s="1171" t="s">
        <v>126</v>
      </c>
      <c r="B157" s="1171"/>
      <c r="C157" s="131" t="s">
        <v>552</v>
      </c>
    </row>
    <row r="158" spans="1:9" ht="13.5" customHeight="1" thickBot="1" x14ac:dyDescent="0.3">
      <c r="A158" s="18">
        <v>1</v>
      </c>
      <c r="B158" s="23" t="s">
        <v>492</v>
      </c>
      <c r="C158" s="122">
        <f>+C62-C128</f>
        <v>-423352463</v>
      </c>
      <c r="D158" s="679"/>
    </row>
    <row r="159" spans="1:9" ht="27.75" customHeight="1" thickBot="1" x14ac:dyDescent="0.3">
      <c r="A159" s="18" t="s">
        <v>20</v>
      </c>
      <c r="B159" s="23" t="s">
        <v>493</v>
      </c>
      <c r="C159" s="122">
        <f>+C86-C153</f>
        <v>423352463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4/2020.(II.28.)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view="pageLayout" topLeftCell="B1" zoomScaleNormal="115" zoomScaleSheetLayoutView="85" workbookViewId="0">
      <selection activeCell="D1" sqref="D1:D1048576"/>
    </sheetView>
  </sheetViews>
  <sheetFormatPr defaultRowHeight="12.75" x14ac:dyDescent="0.2"/>
  <cols>
    <col min="1" max="1" width="19.5" style="400" customWidth="1"/>
    <col min="2" max="2" width="72" style="401" customWidth="1"/>
    <col min="3" max="3" width="25" style="373" customWidth="1"/>
    <col min="4" max="4" width="16.6640625" style="391" hidden="1" customWidth="1"/>
    <col min="5" max="5" width="11.83203125" style="391" hidden="1" customWidth="1"/>
    <col min="6" max="6" width="11.83203125" style="390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84"/>
      <c r="B1" s="86"/>
      <c r="C1" s="109"/>
      <c r="D1" s="391"/>
      <c r="E1" s="391"/>
      <c r="F1" s="390"/>
    </row>
    <row r="2" spans="1:6" s="47" customFormat="1" ht="21" customHeight="1" x14ac:dyDescent="0.2">
      <c r="A2" s="190" t="s">
        <v>63</v>
      </c>
      <c r="B2" s="167" t="s">
        <v>160</v>
      </c>
      <c r="C2" s="169" t="s">
        <v>54</v>
      </c>
      <c r="D2" s="393"/>
      <c r="E2" s="393"/>
      <c r="F2" s="392"/>
    </row>
    <row r="3" spans="1:6" s="47" customFormat="1" ht="16.5" thickBot="1" x14ac:dyDescent="0.25">
      <c r="A3" s="87" t="s">
        <v>157</v>
      </c>
      <c r="B3" s="168" t="s">
        <v>336</v>
      </c>
      <c r="C3" s="260" t="s">
        <v>54</v>
      </c>
      <c r="D3" s="393"/>
      <c r="E3" s="393"/>
      <c r="F3" s="392"/>
    </row>
    <row r="4" spans="1:6" s="48" customFormat="1" ht="15.95" customHeight="1" thickBot="1" x14ac:dyDescent="0.3">
      <c r="A4" s="88"/>
      <c r="B4" s="88"/>
      <c r="C4" s="89" t="s">
        <v>552</v>
      </c>
      <c r="D4" s="393"/>
      <c r="E4" s="393"/>
      <c r="F4" s="392"/>
    </row>
    <row r="5" spans="1:6" ht="13.5" thickBot="1" x14ac:dyDescent="0.25">
      <c r="A5" s="191" t="s">
        <v>159</v>
      </c>
      <c r="B5" s="90" t="s">
        <v>55</v>
      </c>
      <c r="C5" s="170" t="s">
        <v>56</v>
      </c>
    </row>
    <row r="6" spans="1:6" s="40" customFormat="1" ht="12.95" customHeight="1" thickBot="1" x14ac:dyDescent="0.25">
      <c r="A6" s="77" t="s">
        <v>443</v>
      </c>
      <c r="B6" s="78" t="s">
        <v>444</v>
      </c>
      <c r="C6" s="79" t="s">
        <v>445</v>
      </c>
      <c r="D6" s="391"/>
      <c r="E6" s="391"/>
      <c r="F6" s="394"/>
    </row>
    <row r="7" spans="1:6" s="40" customFormat="1" ht="15.95" customHeight="1" thickBot="1" x14ac:dyDescent="0.25">
      <c r="A7" s="92"/>
      <c r="B7" s="93" t="s">
        <v>57</v>
      </c>
      <c r="C7" s="171"/>
      <c r="D7" s="391"/>
      <c r="E7" s="391"/>
      <c r="F7" s="394"/>
    </row>
    <row r="8" spans="1:6" s="40" customFormat="1" ht="12" customHeight="1" thickBot="1" x14ac:dyDescent="0.25">
      <c r="A8" s="28" t="s">
        <v>19</v>
      </c>
      <c r="B8" s="19" t="s">
        <v>184</v>
      </c>
      <c r="C8" s="281">
        <f>+C9+C10+C11+C12+C13+C14</f>
        <v>1324135065</v>
      </c>
      <c r="D8" s="395">
        <f>'9.1.1. sz. mell. '!C8+'9.1.2. sz. mell.'!C8</f>
        <v>1324135065</v>
      </c>
      <c r="E8" s="395">
        <f t="shared" ref="E8:E71" si="0">C8-D8</f>
        <v>0</v>
      </c>
      <c r="F8" s="394">
        <f>C8-D8</f>
        <v>0</v>
      </c>
    </row>
    <row r="9" spans="1:6" s="49" customFormat="1" ht="12" customHeight="1" thickBot="1" x14ac:dyDescent="0.25">
      <c r="A9" s="214" t="s">
        <v>95</v>
      </c>
      <c r="B9" s="200" t="s">
        <v>185</v>
      </c>
      <c r="C9" s="1073">
        <f>211161846+4226000+4709893-1999597</f>
        <v>218098142</v>
      </c>
      <c r="D9" s="395">
        <f>'9.1.1. sz. mell. '!C9+'9.1.2. sz. mell.'!C9</f>
        <v>218098142</v>
      </c>
      <c r="E9" s="396">
        <f t="shared" si="0"/>
        <v>0</v>
      </c>
      <c r="F9" s="394">
        <f t="shared" ref="F9:F72" si="1">C9-D9</f>
        <v>0</v>
      </c>
    </row>
    <row r="10" spans="1:6" s="50" customFormat="1" ht="12" customHeight="1" thickBot="1" x14ac:dyDescent="0.25">
      <c r="A10" s="215" t="s">
        <v>96</v>
      </c>
      <c r="B10" s="201" t="s">
        <v>186</v>
      </c>
      <c r="C10" s="1113">
        <f>235351616+4095000+670926-1651131</f>
        <v>238466411</v>
      </c>
      <c r="D10" s="395">
        <f>'9.1.1. sz. mell. '!C10+'9.1.2. sz. mell.'!C10</f>
        <v>238466411</v>
      </c>
      <c r="E10" s="397">
        <f t="shared" si="0"/>
        <v>0</v>
      </c>
      <c r="F10" s="394">
        <f t="shared" si="1"/>
        <v>0</v>
      </c>
    </row>
    <row r="11" spans="1:6" s="50" customFormat="1" ht="12" customHeight="1" thickBot="1" x14ac:dyDescent="0.25">
      <c r="A11" s="215" t="s">
        <v>97</v>
      </c>
      <c r="B11" s="201" t="s">
        <v>187</v>
      </c>
      <c r="C11" s="1113">
        <f>132342947+82528441+152850000+191583306+50232560+61299400+1796961+73694436+47948000-1357436-8425162</f>
        <v>784493453</v>
      </c>
      <c r="D11" s="395">
        <f>'9.1.1. sz. mell. '!C11+'9.1.2. sz. mell.'!C11</f>
        <v>784493453</v>
      </c>
      <c r="E11" s="397">
        <f t="shared" si="0"/>
        <v>0</v>
      </c>
      <c r="F11" s="394">
        <f t="shared" si="1"/>
        <v>0</v>
      </c>
    </row>
    <row r="12" spans="1:6" s="50" customFormat="1" ht="12" customHeight="1" thickBot="1" x14ac:dyDescent="0.25">
      <c r="A12" s="215" t="s">
        <v>98</v>
      </c>
      <c r="B12" s="201" t="s">
        <v>188</v>
      </c>
      <c r="C12" s="1113">
        <f>4617241+15998620+12622000+1404000+542000-430288</f>
        <v>34753573</v>
      </c>
      <c r="D12" s="395">
        <f>'9.1.1. sz. mell. '!C12+'9.1.2. sz. mell.'!C12</f>
        <v>34753573</v>
      </c>
      <c r="E12" s="397">
        <f t="shared" si="0"/>
        <v>0</v>
      </c>
      <c r="F12" s="394">
        <f t="shared" si="1"/>
        <v>0</v>
      </c>
    </row>
    <row r="13" spans="1:6" s="50" customFormat="1" ht="12" customHeight="1" thickBot="1" x14ac:dyDescent="0.25">
      <c r="A13" s="215" t="s">
        <v>121</v>
      </c>
      <c r="B13" s="201" t="s">
        <v>504</v>
      </c>
      <c r="C13" s="1113">
        <f>29417493+205313443-2600335-5000000+9625137-53811000-4359893-130261359</f>
        <v>48323486</v>
      </c>
      <c r="D13" s="395">
        <f>'9.1.1. sz. mell. '!C13+'9.1.2. sz. mell.'!C13</f>
        <v>48323486</v>
      </c>
      <c r="E13" s="397">
        <f t="shared" si="0"/>
        <v>0</v>
      </c>
      <c r="F13" s="394">
        <f t="shared" si="1"/>
        <v>0</v>
      </c>
    </row>
    <row r="14" spans="1:6" s="49" customFormat="1" ht="12" customHeight="1" thickBot="1" x14ac:dyDescent="0.25">
      <c r="A14" s="216" t="s">
        <v>99</v>
      </c>
      <c r="B14" s="202" t="s">
        <v>447</v>
      </c>
      <c r="C14" s="265"/>
      <c r="D14" s="395">
        <f>'9.1.1. sz. mell. '!C14+'9.1.2. sz. mell.'!C14</f>
        <v>0</v>
      </c>
      <c r="E14" s="398">
        <f t="shared" si="0"/>
        <v>0</v>
      </c>
      <c r="F14" s="394">
        <f t="shared" si="1"/>
        <v>0</v>
      </c>
    </row>
    <row r="15" spans="1:6" s="49" customFormat="1" ht="12" customHeight="1" thickBot="1" x14ac:dyDescent="0.25">
      <c r="A15" s="28" t="s">
        <v>20</v>
      </c>
      <c r="B15" s="117" t="s">
        <v>189</v>
      </c>
      <c r="C15" s="281">
        <f>+C16+C17+C18+C19+C20</f>
        <v>278673507</v>
      </c>
      <c r="D15" s="395">
        <f>'9.1.1. sz. mell. '!C15+'9.1.2. sz. mell.'!C15</f>
        <v>278673507</v>
      </c>
      <c r="E15" s="395">
        <f t="shared" si="0"/>
        <v>0</v>
      </c>
      <c r="F15" s="394">
        <f t="shared" si="1"/>
        <v>0</v>
      </c>
    </row>
    <row r="16" spans="1:6" s="49" customFormat="1" ht="12" customHeight="1" thickBot="1" x14ac:dyDescent="0.25">
      <c r="A16" s="214" t="s">
        <v>101</v>
      </c>
      <c r="B16" s="200" t="s">
        <v>190</v>
      </c>
      <c r="C16" s="283"/>
      <c r="D16" s="395">
        <f>'9.1.1. sz. mell. '!C16+'9.1.2. sz. mell.'!C16</f>
        <v>0</v>
      </c>
      <c r="E16" s="396">
        <f t="shared" si="0"/>
        <v>0</v>
      </c>
      <c r="F16" s="394">
        <f t="shared" si="1"/>
        <v>0</v>
      </c>
    </row>
    <row r="17" spans="1:6" s="49" customFormat="1" ht="12" customHeight="1" thickBot="1" x14ac:dyDescent="0.25">
      <c r="A17" s="215" t="s">
        <v>102</v>
      </c>
      <c r="B17" s="201" t="s">
        <v>191</v>
      </c>
      <c r="C17" s="111"/>
      <c r="D17" s="395">
        <f>'9.1.1. sz. mell. '!C17+'9.1.2. sz. mell.'!C17</f>
        <v>0</v>
      </c>
      <c r="E17" s="397">
        <f t="shared" si="0"/>
        <v>0</v>
      </c>
      <c r="F17" s="394">
        <f t="shared" si="1"/>
        <v>0</v>
      </c>
    </row>
    <row r="18" spans="1:6" s="49" customFormat="1" ht="12" customHeight="1" thickBot="1" x14ac:dyDescent="0.25">
      <c r="A18" s="215" t="s">
        <v>103</v>
      </c>
      <c r="B18" s="201" t="s">
        <v>359</v>
      </c>
      <c r="C18" s="111"/>
      <c r="D18" s="395">
        <f>'9.1.1. sz. mell. '!C18+'9.1.2. sz. mell.'!C18</f>
        <v>0</v>
      </c>
      <c r="E18" s="397">
        <f t="shared" si="0"/>
        <v>0</v>
      </c>
      <c r="F18" s="394">
        <f t="shared" si="1"/>
        <v>0</v>
      </c>
    </row>
    <row r="19" spans="1:6" s="49" customFormat="1" ht="12" customHeight="1" thickBot="1" x14ac:dyDescent="0.25">
      <c r="A19" s="215" t="s">
        <v>104</v>
      </c>
      <c r="B19" s="201" t="s">
        <v>360</v>
      </c>
      <c r="C19" s="111"/>
      <c r="D19" s="395">
        <f>'9.1.1. sz. mell. '!C19+'9.1.2. sz. mell.'!C19</f>
        <v>0</v>
      </c>
      <c r="E19" s="397">
        <f t="shared" si="0"/>
        <v>0</v>
      </c>
      <c r="F19" s="394">
        <f t="shared" si="1"/>
        <v>0</v>
      </c>
    </row>
    <row r="20" spans="1:6" s="49" customFormat="1" ht="12" customHeight="1" thickBot="1" x14ac:dyDescent="0.25">
      <c r="A20" s="215" t="s">
        <v>105</v>
      </c>
      <c r="B20" s="201" t="s">
        <v>192</v>
      </c>
      <c r="C20" s="1019">
        <f>102792540+24250000+3975280+5670000+67037993+2125000+2984246+5540419+66123322+17088300-24250000+5336407</f>
        <v>278673507</v>
      </c>
      <c r="D20" s="395">
        <f>'9.1.1. sz. mell. '!C20+'9.1.2. sz. mell.'!C20</f>
        <v>278673507</v>
      </c>
      <c r="E20" s="397">
        <f t="shared" si="0"/>
        <v>0</v>
      </c>
      <c r="F20" s="394">
        <f t="shared" si="1"/>
        <v>0</v>
      </c>
    </row>
    <row r="21" spans="1:6" s="50" customFormat="1" ht="12" customHeight="1" thickBot="1" x14ac:dyDescent="0.25">
      <c r="A21" s="216" t="s">
        <v>114</v>
      </c>
      <c r="B21" s="202" t="s">
        <v>193</v>
      </c>
      <c r="C21" s="1005">
        <f>67037993+2125000+66123322+15905400</f>
        <v>151191715</v>
      </c>
      <c r="D21" s="395">
        <f>'9.1.1. sz. mell. '!C21+'9.1.2. sz. mell.'!C21</f>
        <v>151191715</v>
      </c>
      <c r="E21" s="398">
        <f t="shared" si="0"/>
        <v>0</v>
      </c>
      <c r="F21" s="394">
        <f t="shared" si="1"/>
        <v>0</v>
      </c>
    </row>
    <row r="22" spans="1:6" s="50" customFormat="1" ht="12" customHeight="1" thickBot="1" x14ac:dyDescent="0.25">
      <c r="A22" s="28" t="s">
        <v>21</v>
      </c>
      <c r="B22" s="19" t="s">
        <v>194</v>
      </c>
      <c r="C22" s="281">
        <f>+C23+C24+C25+C26+C27</f>
        <v>1063944950</v>
      </c>
      <c r="D22" s="395">
        <f>'9.1.1. sz. mell. '!C22+'9.1.2. sz. mell.'!C22</f>
        <v>1063944950</v>
      </c>
      <c r="E22" s="395">
        <f t="shared" si="0"/>
        <v>0</v>
      </c>
      <c r="F22" s="394">
        <f t="shared" si="1"/>
        <v>0</v>
      </c>
    </row>
    <row r="23" spans="1:6" s="50" customFormat="1" ht="12" customHeight="1" thickBot="1" x14ac:dyDescent="0.25">
      <c r="A23" s="214" t="s">
        <v>84</v>
      </c>
      <c r="B23" s="200" t="s">
        <v>195</v>
      </c>
      <c r="C23" s="891">
        <f>369999900+139000</f>
        <v>370138900</v>
      </c>
      <c r="D23" s="395">
        <f>'9.1.1. sz. mell. '!C23+'9.1.2. sz. mell.'!C23</f>
        <v>370138900</v>
      </c>
      <c r="E23" s="396">
        <f t="shared" si="0"/>
        <v>0</v>
      </c>
      <c r="F23" s="394">
        <f t="shared" si="1"/>
        <v>0</v>
      </c>
    </row>
    <row r="24" spans="1:6" s="49" customFormat="1" ht="12" customHeight="1" thickBot="1" x14ac:dyDescent="0.25">
      <c r="A24" s="215" t="s">
        <v>85</v>
      </c>
      <c r="B24" s="201" t="s">
        <v>196</v>
      </c>
      <c r="C24" s="1004"/>
      <c r="D24" s="395">
        <f>'9.1.1. sz. mell. '!C24+'9.1.2. sz. mell.'!C24</f>
        <v>0</v>
      </c>
      <c r="E24" s="397">
        <f t="shared" si="0"/>
        <v>0</v>
      </c>
      <c r="F24" s="394">
        <f t="shared" si="1"/>
        <v>0</v>
      </c>
    </row>
    <row r="25" spans="1:6" s="50" customFormat="1" ht="12" customHeight="1" thickBot="1" x14ac:dyDescent="0.25">
      <c r="A25" s="215" t="s">
        <v>86</v>
      </c>
      <c r="B25" s="201" t="s">
        <v>361</v>
      </c>
      <c r="C25" s="1004"/>
      <c r="D25" s="395">
        <f>'9.1.1. sz. mell. '!C25+'9.1.2. sz. mell.'!C25</f>
        <v>0</v>
      </c>
      <c r="E25" s="397">
        <f t="shared" si="0"/>
        <v>0</v>
      </c>
      <c r="F25" s="394">
        <f t="shared" si="1"/>
        <v>0</v>
      </c>
    </row>
    <row r="26" spans="1:6" s="50" customFormat="1" ht="12" customHeight="1" thickBot="1" x14ac:dyDescent="0.25">
      <c r="A26" s="215" t="s">
        <v>87</v>
      </c>
      <c r="B26" s="201" t="s">
        <v>362</v>
      </c>
      <c r="C26" s="1004"/>
      <c r="D26" s="395">
        <f>'9.1.1. sz. mell. '!C26+'9.1.2. sz. mell.'!C26</f>
        <v>0</v>
      </c>
      <c r="E26" s="397">
        <f t="shared" si="0"/>
        <v>0</v>
      </c>
      <c r="F26" s="394">
        <f t="shared" si="1"/>
        <v>0</v>
      </c>
    </row>
    <row r="27" spans="1:6" s="50" customFormat="1" ht="12" customHeight="1" thickBot="1" x14ac:dyDescent="0.25">
      <c r="A27" s="215" t="s">
        <v>132</v>
      </c>
      <c r="B27" s="201" t="s">
        <v>197</v>
      </c>
      <c r="C27" s="1004">
        <f>5596040+25377271+3487179+47949076+82875000+370160338+158361146</f>
        <v>693806050</v>
      </c>
      <c r="D27" s="395">
        <f>'9.1.1. sz. mell. '!C27+'9.1.2. sz. mell.'!C27</f>
        <v>693806050</v>
      </c>
      <c r="E27" s="397">
        <f t="shared" si="0"/>
        <v>0</v>
      </c>
      <c r="F27" s="394">
        <f t="shared" si="1"/>
        <v>0</v>
      </c>
    </row>
    <row r="28" spans="1:6" s="50" customFormat="1" ht="12" customHeight="1" thickBot="1" x14ac:dyDescent="0.25">
      <c r="A28" s="216" t="s">
        <v>133</v>
      </c>
      <c r="B28" s="202" t="s">
        <v>198</v>
      </c>
      <c r="C28" s="1005">
        <f>5596040+25377271+3487179+47949076+82875000+370160338+157669246</f>
        <v>693114150</v>
      </c>
      <c r="D28" s="395">
        <f>'9.1.1. sz. mell. '!C28+'9.1.2. sz. mell.'!C28</f>
        <v>693114150</v>
      </c>
      <c r="E28" s="398">
        <f t="shared" si="0"/>
        <v>0</v>
      </c>
      <c r="F28" s="394">
        <f t="shared" si="1"/>
        <v>0</v>
      </c>
    </row>
    <row r="29" spans="1:6" s="50" customFormat="1" ht="12" customHeight="1" thickBot="1" x14ac:dyDescent="0.25">
      <c r="A29" s="28" t="s">
        <v>134</v>
      </c>
      <c r="B29" s="19" t="s">
        <v>620</v>
      </c>
      <c r="C29" s="284">
        <f>+C30+C34+C35+C36</f>
        <v>482500000</v>
      </c>
      <c r="D29" s="395">
        <f>'9.1.1. sz. mell. '!C29+'9.1.2. sz. mell.'!C29</f>
        <v>482500000</v>
      </c>
      <c r="E29" s="395">
        <f t="shared" si="0"/>
        <v>0</v>
      </c>
      <c r="F29" s="394">
        <f t="shared" si="1"/>
        <v>0</v>
      </c>
    </row>
    <row r="30" spans="1:6" s="50" customFormat="1" ht="12" customHeight="1" thickBot="1" x14ac:dyDescent="0.25">
      <c r="A30" s="214" t="s">
        <v>200</v>
      </c>
      <c r="B30" s="200" t="s">
        <v>602</v>
      </c>
      <c r="C30" s="299">
        <f>SUM(C31:C32)</f>
        <v>430000000</v>
      </c>
      <c r="D30" s="395">
        <f>'9.1.1. sz. mell. '!C30+'9.1.2. sz. mell.'!C30</f>
        <v>430000000</v>
      </c>
      <c r="E30" s="396">
        <f t="shared" si="0"/>
        <v>0</v>
      </c>
      <c r="F30" s="394">
        <f t="shared" si="1"/>
        <v>0</v>
      </c>
    </row>
    <row r="31" spans="1:6" s="50" customFormat="1" ht="12" customHeight="1" thickBot="1" x14ac:dyDescent="0.25">
      <c r="A31" s="215" t="s">
        <v>201</v>
      </c>
      <c r="B31" s="201" t="s">
        <v>206</v>
      </c>
      <c r="C31" s="111">
        <f>80000000+9000000</f>
        <v>89000000</v>
      </c>
      <c r="D31" s="395">
        <f>'9.1.1. sz. mell. '!C31+'9.1.2. sz. mell.'!C31</f>
        <v>89000000</v>
      </c>
      <c r="E31" s="397">
        <f t="shared" si="0"/>
        <v>0</v>
      </c>
      <c r="F31" s="394">
        <f t="shared" si="1"/>
        <v>0</v>
      </c>
    </row>
    <row r="32" spans="1:6" s="50" customFormat="1" ht="12" customHeight="1" thickBot="1" x14ac:dyDescent="0.25">
      <c r="A32" s="215" t="s">
        <v>202</v>
      </c>
      <c r="B32" s="248" t="s">
        <v>601</v>
      </c>
      <c r="C32" s="111">
        <f>341000000</f>
        <v>341000000</v>
      </c>
      <c r="D32" s="395">
        <f>'9.1.1. sz. mell. '!C32+'9.1.2. sz. mell.'!C32</f>
        <v>341000000</v>
      </c>
      <c r="E32" s="397">
        <f t="shared" si="0"/>
        <v>0</v>
      </c>
      <c r="F32" s="394">
        <f t="shared" si="1"/>
        <v>0</v>
      </c>
    </row>
    <row r="33" spans="1:6" s="50" customFormat="1" ht="12" customHeight="1" thickBot="1" x14ac:dyDescent="0.25">
      <c r="A33" s="215" t="s">
        <v>203</v>
      </c>
      <c r="B33" s="201" t="s">
        <v>534</v>
      </c>
      <c r="C33" s="265"/>
      <c r="D33" s="395">
        <f>'9.1.1. sz. mell. '!C33+'9.1.2. sz. mell.'!C33</f>
        <v>0</v>
      </c>
      <c r="E33" s="397">
        <f t="shared" si="0"/>
        <v>0</v>
      </c>
      <c r="F33" s="394">
        <f t="shared" si="1"/>
        <v>0</v>
      </c>
    </row>
    <row r="34" spans="1:6" s="50" customFormat="1" ht="12" customHeight="1" thickBot="1" x14ac:dyDescent="0.25">
      <c r="A34" s="215" t="s">
        <v>535</v>
      </c>
      <c r="B34" s="201" t="s">
        <v>207</v>
      </c>
      <c r="C34" s="111">
        <f>35000000</f>
        <v>35000000</v>
      </c>
      <c r="D34" s="395">
        <f>'9.1.1. sz. mell. '!C34+'9.1.2. sz. mell.'!C34</f>
        <v>35000000</v>
      </c>
      <c r="E34" s="397">
        <f t="shared" si="0"/>
        <v>0</v>
      </c>
      <c r="F34" s="394">
        <f t="shared" si="1"/>
        <v>0</v>
      </c>
    </row>
    <row r="35" spans="1:6" s="50" customFormat="1" ht="12" customHeight="1" thickBot="1" x14ac:dyDescent="0.25">
      <c r="A35" s="215" t="s">
        <v>205</v>
      </c>
      <c r="B35" s="201" t="s">
        <v>208</v>
      </c>
      <c r="C35" s="265">
        <f>1000000</f>
        <v>1000000</v>
      </c>
      <c r="D35" s="395">
        <f>'9.1.1. sz. mell. '!C35+'9.1.2. sz. mell.'!C35</f>
        <v>1000000</v>
      </c>
      <c r="E35" s="397">
        <f t="shared" si="0"/>
        <v>0</v>
      </c>
      <c r="F35" s="394">
        <f t="shared" si="1"/>
        <v>0</v>
      </c>
    </row>
    <row r="36" spans="1:6" s="50" customFormat="1" ht="12" customHeight="1" thickBot="1" x14ac:dyDescent="0.25">
      <c r="A36" s="216" t="s">
        <v>536</v>
      </c>
      <c r="B36" s="202" t="s">
        <v>209</v>
      </c>
      <c r="C36" s="269">
        <f>6000000+4000000+2500000+500000+3500000</f>
        <v>16500000</v>
      </c>
      <c r="D36" s="395">
        <f>'9.1.1. sz. mell. '!C36+'9.1.2. sz. mell.'!C36</f>
        <v>16500000</v>
      </c>
      <c r="E36" s="398">
        <f t="shared" si="0"/>
        <v>0</v>
      </c>
      <c r="F36" s="394">
        <f t="shared" si="1"/>
        <v>0</v>
      </c>
    </row>
    <row r="37" spans="1:6" s="50" customFormat="1" ht="12" customHeight="1" thickBot="1" x14ac:dyDescent="0.25">
      <c r="A37" s="28" t="s">
        <v>23</v>
      </c>
      <c r="B37" s="19" t="s">
        <v>448</v>
      </c>
      <c r="C37" s="281">
        <f>SUM(C38:C48)</f>
        <v>83065842</v>
      </c>
      <c r="D37" s="395">
        <f>'9.1.1. sz. mell. '!C37+'9.1.2. sz. mell.'!C37</f>
        <v>83065842</v>
      </c>
      <c r="E37" s="395">
        <f t="shared" si="0"/>
        <v>0</v>
      </c>
      <c r="F37" s="394">
        <f t="shared" si="1"/>
        <v>0</v>
      </c>
    </row>
    <row r="38" spans="1:6" s="50" customFormat="1" ht="12" customHeight="1" thickBot="1" x14ac:dyDescent="0.25">
      <c r="A38" s="214" t="s">
        <v>88</v>
      </c>
      <c r="B38" s="200" t="s">
        <v>212</v>
      </c>
      <c r="C38" s="285">
        <f>7385026+10000+10375680</f>
        <v>17770706</v>
      </c>
      <c r="D38" s="395">
        <f>'9.1.1. sz. mell. '!C38+'9.1.2. sz. mell.'!C38</f>
        <v>17770706</v>
      </c>
      <c r="E38" s="396">
        <f t="shared" si="0"/>
        <v>0</v>
      </c>
      <c r="F38" s="394">
        <f t="shared" si="1"/>
        <v>0</v>
      </c>
    </row>
    <row r="39" spans="1:6" s="50" customFormat="1" ht="12" customHeight="1" thickBot="1" x14ac:dyDescent="0.25">
      <c r="A39" s="215" t="s">
        <v>89</v>
      </c>
      <c r="B39" s="201" t="s">
        <v>213</v>
      </c>
      <c r="C39" s="265">
        <f>15901900+787402+500000+66929+314961</f>
        <v>17571192</v>
      </c>
      <c r="D39" s="395">
        <f>'9.1.1. sz. mell. '!C39+'9.1.2. sz. mell.'!C39</f>
        <v>17571192</v>
      </c>
      <c r="E39" s="397">
        <f t="shared" si="0"/>
        <v>0</v>
      </c>
      <c r="F39" s="394">
        <f t="shared" si="1"/>
        <v>0</v>
      </c>
    </row>
    <row r="40" spans="1:6" s="50" customFormat="1" ht="12" customHeight="1" thickBot="1" x14ac:dyDescent="0.25">
      <c r="A40" s="215" t="s">
        <v>90</v>
      </c>
      <c r="B40" s="201" t="s">
        <v>214</v>
      </c>
      <c r="C40" s="265">
        <f>20000+6000000+700000+1000000+1109692+340000</f>
        <v>9169692</v>
      </c>
      <c r="D40" s="395">
        <f>'9.1.1. sz. mell. '!C40+'9.1.2. sz. mell.'!C40</f>
        <v>9169692</v>
      </c>
      <c r="E40" s="397">
        <f t="shared" si="0"/>
        <v>0</v>
      </c>
      <c r="F40" s="394">
        <f t="shared" si="1"/>
        <v>0</v>
      </c>
    </row>
    <row r="41" spans="1:6" s="50" customFormat="1" ht="12" customHeight="1" thickBot="1" x14ac:dyDescent="0.25">
      <c r="A41" s="215" t="s">
        <v>136</v>
      </c>
      <c r="B41" s="201" t="s">
        <v>215</v>
      </c>
      <c r="C41" s="1004">
        <f>440000+300000+144667-144667</f>
        <v>740000</v>
      </c>
      <c r="D41" s="395">
        <f>'9.1.1. sz. mell. '!C41+'9.1.2. sz. mell.'!C41</f>
        <v>740000</v>
      </c>
      <c r="E41" s="397">
        <f t="shared" si="0"/>
        <v>0</v>
      </c>
      <c r="F41" s="394">
        <f t="shared" si="1"/>
        <v>0</v>
      </c>
    </row>
    <row r="42" spans="1:6" s="50" customFormat="1" ht="12" customHeight="1" thickBot="1" x14ac:dyDescent="0.25">
      <c r="A42" s="215" t="s">
        <v>137</v>
      </c>
      <c r="B42" s="201" t="s">
        <v>216</v>
      </c>
      <c r="C42" s="265"/>
      <c r="D42" s="395">
        <f>'9.1.1. sz. mell. '!C42+'9.1.2. sz. mell.'!C42</f>
        <v>0</v>
      </c>
      <c r="E42" s="397">
        <f t="shared" si="0"/>
        <v>0</v>
      </c>
      <c r="F42" s="394">
        <f t="shared" si="1"/>
        <v>0</v>
      </c>
    </row>
    <row r="43" spans="1:6" s="50" customFormat="1" ht="12" customHeight="1" thickBot="1" x14ac:dyDescent="0.25">
      <c r="A43" s="215" t="s">
        <v>138</v>
      </c>
      <c r="B43" s="201" t="s">
        <v>217</v>
      </c>
      <c r="C43" s="265">
        <f>5400+1993957+12052638+212598+189000+2801434+333450+135000+18071+85039</f>
        <v>17826587</v>
      </c>
      <c r="D43" s="395">
        <f>'9.1.1. sz. mell. '!C43+'9.1.2. sz. mell.'!C43</f>
        <v>17826587</v>
      </c>
      <c r="E43" s="397">
        <f t="shared" si="0"/>
        <v>0</v>
      </c>
      <c r="F43" s="394">
        <f t="shared" si="1"/>
        <v>0</v>
      </c>
    </row>
    <row r="44" spans="1:6" s="50" customFormat="1" ht="12" customHeight="1" thickBot="1" x14ac:dyDescent="0.25">
      <c r="A44" s="215" t="s">
        <v>139</v>
      </c>
      <c r="B44" s="201" t="s">
        <v>218</v>
      </c>
      <c r="C44" s="265"/>
      <c r="D44" s="395">
        <f>'9.1.1. sz. mell. '!C44+'9.1.2. sz. mell.'!C44</f>
        <v>0</v>
      </c>
      <c r="E44" s="397">
        <f t="shared" si="0"/>
        <v>0</v>
      </c>
      <c r="F44" s="394">
        <f t="shared" si="1"/>
        <v>0</v>
      </c>
    </row>
    <row r="45" spans="1:6" s="50" customFormat="1" ht="12" customHeight="1" thickBot="1" x14ac:dyDescent="0.25">
      <c r="A45" s="215" t="s">
        <v>140</v>
      </c>
      <c r="B45" s="201" t="s">
        <v>219</v>
      </c>
      <c r="C45" s="265"/>
      <c r="D45" s="395">
        <f>'9.1.1. sz. mell. '!C45+'9.1.2. sz. mell.'!C45</f>
        <v>0</v>
      </c>
      <c r="E45" s="397">
        <f t="shared" si="0"/>
        <v>0</v>
      </c>
      <c r="F45" s="394">
        <f t="shared" si="1"/>
        <v>0</v>
      </c>
    </row>
    <row r="46" spans="1:6" s="50" customFormat="1" ht="12" customHeight="1" thickBot="1" x14ac:dyDescent="0.25">
      <c r="A46" s="215" t="s">
        <v>210</v>
      </c>
      <c r="B46" s="201" t="s">
        <v>220</v>
      </c>
      <c r="C46" s="265"/>
      <c r="D46" s="395">
        <f>'9.1.1. sz. mell. '!C46+'9.1.2. sz. mell.'!C46</f>
        <v>0</v>
      </c>
      <c r="E46" s="397">
        <f t="shared" si="0"/>
        <v>0</v>
      </c>
      <c r="F46" s="394">
        <f t="shared" si="1"/>
        <v>0</v>
      </c>
    </row>
    <row r="47" spans="1:6" s="50" customFormat="1" ht="12" customHeight="1" thickBot="1" x14ac:dyDescent="0.25">
      <c r="A47" s="216" t="s">
        <v>211</v>
      </c>
      <c r="B47" s="202" t="s">
        <v>449</v>
      </c>
      <c r="C47" s="269">
        <f>500000</f>
        <v>500000</v>
      </c>
      <c r="D47" s="395">
        <f>'9.1.1. sz. mell. '!C47+'9.1.2. sz. mell.'!C47</f>
        <v>500000</v>
      </c>
      <c r="E47" s="397">
        <f t="shared" si="0"/>
        <v>0</v>
      </c>
      <c r="F47" s="394">
        <f t="shared" si="1"/>
        <v>0</v>
      </c>
    </row>
    <row r="48" spans="1:6" s="50" customFormat="1" ht="12" customHeight="1" thickBot="1" x14ac:dyDescent="0.25">
      <c r="A48" s="216" t="s">
        <v>450</v>
      </c>
      <c r="B48" s="202" t="s">
        <v>221</v>
      </c>
      <c r="C48" s="1005">
        <f>507601+335000+700000+2935064+10000+15000000</f>
        <v>19487665</v>
      </c>
      <c r="D48" s="395">
        <f>'9.1.1. sz. mell. '!C48+'9.1.2. sz. mell.'!C48</f>
        <v>19487665</v>
      </c>
      <c r="E48" s="398">
        <f t="shared" si="0"/>
        <v>0</v>
      </c>
      <c r="F48" s="394">
        <f t="shared" si="1"/>
        <v>0</v>
      </c>
    </row>
    <row r="49" spans="1:9" s="50" customFormat="1" ht="12" customHeight="1" thickBot="1" x14ac:dyDescent="0.25">
      <c r="A49" s="28" t="s">
        <v>24</v>
      </c>
      <c r="B49" s="19" t="s">
        <v>222</v>
      </c>
      <c r="C49" s="281">
        <f>SUM(C50:C54)</f>
        <v>21932600</v>
      </c>
      <c r="D49" s="395">
        <f>'9.1.1. sz. mell. '!C49+'9.1.2. sz. mell.'!C49</f>
        <v>21932600</v>
      </c>
      <c r="E49" s="395">
        <f t="shared" si="0"/>
        <v>0</v>
      </c>
      <c r="F49" s="394">
        <f t="shared" si="1"/>
        <v>0</v>
      </c>
    </row>
    <row r="50" spans="1:9" s="50" customFormat="1" ht="12" customHeight="1" thickBot="1" x14ac:dyDescent="0.25">
      <c r="A50" s="214" t="s">
        <v>91</v>
      </c>
      <c r="B50" s="200" t="s">
        <v>226</v>
      </c>
      <c r="C50" s="285"/>
      <c r="D50" s="395">
        <f>'9.1.1. sz. mell. '!C50+'9.1.2. sz. mell.'!C50</f>
        <v>0</v>
      </c>
      <c r="E50" s="396">
        <f t="shared" si="0"/>
        <v>0</v>
      </c>
      <c r="F50" s="394">
        <f t="shared" si="1"/>
        <v>0</v>
      </c>
    </row>
    <row r="51" spans="1:9" s="50" customFormat="1" ht="12" customHeight="1" thickBot="1" x14ac:dyDescent="0.25">
      <c r="A51" s="215" t="s">
        <v>92</v>
      </c>
      <c r="B51" s="201" t="s">
        <v>227</v>
      </c>
      <c r="C51" s="265">
        <f>21787500</f>
        <v>21787500</v>
      </c>
      <c r="D51" s="395">
        <f>'9.1.1. sz. mell. '!C51+'9.1.2. sz. mell.'!C51</f>
        <v>21787500</v>
      </c>
      <c r="E51" s="397">
        <f t="shared" si="0"/>
        <v>0</v>
      </c>
      <c r="F51" s="394">
        <f t="shared" si="1"/>
        <v>0</v>
      </c>
    </row>
    <row r="52" spans="1:9" s="50" customFormat="1" ht="12" customHeight="1" thickBot="1" x14ac:dyDescent="0.25">
      <c r="A52" s="215" t="s">
        <v>223</v>
      </c>
      <c r="B52" s="201" t="s">
        <v>228</v>
      </c>
      <c r="C52" s="265"/>
      <c r="D52" s="395">
        <f>'9.1.1. sz. mell. '!C52+'9.1.2. sz. mell.'!C52</f>
        <v>0</v>
      </c>
      <c r="E52" s="397">
        <f t="shared" si="0"/>
        <v>0</v>
      </c>
      <c r="F52" s="394">
        <f t="shared" si="1"/>
        <v>0</v>
      </c>
    </row>
    <row r="53" spans="1:9" s="50" customFormat="1" ht="12" customHeight="1" thickBot="1" x14ac:dyDescent="0.25">
      <c r="A53" s="215" t="s">
        <v>224</v>
      </c>
      <c r="B53" s="201" t="s">
        <v>229</v>
      </c>
      <c r="C53" s="265"/>
      <c r="D53" s="395">
        <f>'9.1.1. sz. mell. '!C53+'9.1.2. sz. mell.'!C53</f>
        <v>0</v>
      </c>
      <c r="E53" s="397">
        <f t="shared" si="0"/>
        <v>0</v>
      </c>
      <c r="F53" s="394">
        <f t="shared" si="1"/>
        <v>0</v>
      </c>
    </row>
    <row r="54" spans="1:9" s="50" customFormat="1" ht="12" customHeight="1" thickBot="1" x14ac:dyDescent="0.25">
      <c r="A54" s="216" t="s">
        <v>225</v>
      </c>
      <c r="B54" s="202" t="s">
        <v>230</v>
      </c>
      <c r="C54" s="1005">
        <f>145100</f>
        <v>145100</v>
      </c>
      <c r="D54" s="395">
        <f>'9.1.1. sz. mell. '!C54+'9.1.2. sz. mell.'!C54</f>
        <v>145100</v>
      </c>
      <c r="E54" s="398">
        <f t="shared" si="0"/>
        <v>0</v>
      </c>
      <c r="F54" s="394">
        <f t="shared" si="1"/>
        <v>0</v>
      </c>
    </row>
    <row r="55" spans="1:9" s="50" customFormat="1" ht="12" customHeight="1" thickBot="1" x14ac:dyDescent="0.25">
      <c r="A55" s="28" t="s">
        <v>141</v>
      </c>
      <c r="B55" s="19" t="s">
        <v>231</v>
      </c>
      <c r="C55" s="281">
        <f>SUM(C56:C58)</f>
        <v>2582700</v>
      </c>
      <c r="D55" s="395">
        <f>'9.1.1. sz. mell. '!C55+'9.1.2. sz. mell.'!C55</f>
        <v>2582700</v>
      </c>
      <c r="E55" s="395">
        <f t="shared" si="0"/>
        <v>0</v>
      </c>
      <c r="F55" s="394">
        <f t="shared" si="1"/>
        <v>0</v>
      </c>
      <c r="I55" s="871"/>
    </row>
    <row r="56" spans="1:9" s="50" customFormat="1" ht="12" customHeight="1" thickBot="1" x14ac:dyDescent="0.25">
      <c r="A56" s="214" t="s">
        <v>93</v>
      </c>
      <c r="B56" s="200" t="s">
        <v>232</v>
      </c>
      <c r="C56" s="283"/>
      <c r="D56" s="395">
        <f>'9.1.1. sz. mell. '!C56+'9.1.2. sz. mell.'!C56</f>
        <v>0</v>
      </c>
      <c r="E56" s="396">
        <f t="shared" si="0"/>
        <v>0</v>
      </c>
      <c r="F56" s="394">
        <f t="shared" si="1"/>
        <v>0</v>
      </c>
    </row>
    <row r="57" spans="1:9" s="50" customFormat="1" ht="12" customHeight="1" thickBot="1" x14ac:dyDescent="0.25">
      <c r="A57" s="215" t="s">
        <v>94</v>
      </c>
      <c r="B57" s="201" t="s">
        <v>363</v>
      </c>
      <c r="C57" s="265">
        <f>480000+400000</f>
        <v>880000</v>
      </c>
      <c r="D57" s="395">
        <f>'9.1.1. sz. mell. '!C57+'9.1.2. sz. mell.'!C57</f>
        <v>880000</v>
      </c>
      <c r="E57" s="397">
        <f t="shared" si="0"/>
        <v>0</v>
      </c>
      <c r="F57" s="394">
        <f t="shared" si="1"/>
        <v>0</v>
      </c>
    </row>
    <row r="58" spans="1:9" s="50" customFormat="1" ht="12" customHeight="1" thickBot="1" x14ac:dyDescent="0.25">
      <c r="A58" s="215" t="s">
        <v>235</v>
      </c>
      <c r="B58" s="201" t="s">
        <v>233</v>
      </c>
      <c r="C58" s="265">
        <f>950000+752700</f>
        <v>1702700</v>
      </c>
      <c r="D58" s="395">
        <f>'9.1.1. sz. mell. '!C58+'9.1.2. sz. mell.'!C58</f>
        <v>1702700</v>
      </c>
      <c r="E58" s="397">
        <f t="shared" si="0"/>
        <v>0</v>
      </c>
      <c r="F58" s="394">
        <f t="shared" si="1"/>
        <v>0</v>
      </c>
    </row>
    <row r="59" spans="1:9" s="50" customFormat="1" ht="12" customHeight="1" thickBot="1" x14ac:dyDescent="0.25">
      <c r="A59" s="216" t="s">
        <v>236</v>
      </c>
      <c r="B59" s="202" t="s">
        <v>234</v>
      </c>
      <c r="C59" s="112"/>
      <c r="D59" s="395">
        <f>'9.1.1. sz. mell. '!C59+'9.1.2. sz. mell.'!C59</f>
        <v>0</v>
      </c>
      <c r="E59" s="398">
        <f t="shared" si="0"/>
        <v>0</v>
      </c>
      <c r="F59" s="394">
        <f t="shared" si="1"/>
        <v>0</v>
      </c>
    </row>
    <row r="60" spans="1:9" s="50" customFormat="1" ht="12" customHeight="1" thickBot="1" x14ac:dyDescent="0.25">
      <c r="A60" s="28" t="s">
        <v>26</v>
      </c>
      <c r="B60" s="117" t="s">
        <v>237</v>
      </c>
      <c r="C60" s="281">
        <f>SUM(C61:C63)</f>
        <v>0</v>
      </c>
      <c r="D60" s="395">
        <f>'9.1.1. sz. mell. '!C60+'9.1.2. sz. mell.'!C60</f>
        <v>0</v>
      </c>
      <c r="E60" s="395">
        <f t="shared" si="0"/>
        <v>0</v>
      </c>
      <c r="F60" s="394">
        <f t="shared" si="1"/>
        <v>0</v>
      </c>
    </row>
    <row r="61" spans="1:9" s="50" customFormat="1" ht="12" customHeight="1" thickBot="1" x14ac:dyDescent="0.25">
      <c r="A61" s="214" t="s">
        <v>142</v>
      </c>
      <c r="B61" s="200" t="s">
        <v>239</v>
      </c>
      <c r="C61" s="265"/>
      <c r="D61" s="395">
        <f>'9.1.1. sz. mell. '!C61+'9.1.2. sz. mell.'!C61</f>
        <v>0</v>
      </c>
      <c r="E61" s="396">
        <f t="shared" si="0"/>
        <v>0</v>
      </c>
      <c r="F61" s="394">
        <f t="shared" si="1"/>
        <v>0</v>
      </c>
    </row>
    <row r="62" spans="1:9" s="50" customFormat="1" ht="12" customHeight="1" thickBot="1" x14ac:dyDescent="0.25">
      <c r="A62" s="215" t="s">
        <v>143</v>
      </c>
      <c r="B62" s="201" t="s">
        <v>364</v>
      </c>
      <c r="C62" s="265"/>
      <c r="D62" s="395">
        <f>'9.1.1. sz. mell. '!C62+'9.1.2. sz. mell.'!C62</f>
        <v>0</v>
      </c>
      <c r="E62" s="397">
        <f t="shared" si="0"/>
        <v>0</v>
      </c>
      <c r="F62" s="394">
        <f t="shared" si="1"/>
        <v>0</v>
      </c>
    </row>
    <row r="63" spans="1:9" s="50" customFormat="1" ht="12" customHeight="1" thickBot="1" x14ac:dyDescent="0.25">
      <c r="A63" s="215" t="s">
        <v>164</v>
      </c>
      <c r="B63" s="201" t="s">
        <v>240</v>
      </c>
      <c r="C63" s="265"/>
      <c r="D63" s="395">
        <f>'9.1.1. sz. mell. '!C63+'9.1.2. sz. mell.'!C63</f>
        <v>0</v>
      </c>
      <c r="E63" s="397">
        <f t="shared" si="0"/>
        <v>0</v>
      </c>
      <c r="F63" s="394">
        <f t="shared" si="1"/>
        <v>0</v>
      </c>
    </row>
    <row r="64" spans="1:9" s="50" customFormat="1" ht="12" customHeight="1" thickBot="1" x14ac:dyDescent="0.25">
      <c r="A64" s="216" t="s">
        <v>238</v>
      </c>
      <c r="B64" s="202" t="s">
        <v>241</v>
      </c>
      <c r="C64" s="265"/>
      <c r="D64" s="395">
        <f>'9.1.1. sz. mell. '!C64+'9.1.2. sz. mell.'!C64</f>
        <v>0</v>
      </c>
      <c r="E64" s="398">
        <f t="shared" si="0"/>
        <v>0</v>
      </c>
      <c r="F64" s="394">
        <f t="shared" si="1"/>
        <v>0</v>
      </c>
    </row>
    <row r="65" spans="1:6" s="50" customFormat="1" ht="12" customHeight="1" thickBot="1" x14ac:dyDescent="0.25">
      <c r="A65" s="28" t="s">
        <v>27</v>
      </c>
      <c r="B65" s="19" t="s">
        <v>242</v>
      </c>
      <c r="C65" s="284">
        <f>+C8+C15+C22+C29+C37+C49+C55+C60</f>
        <v>3256834664</v>
      </c>
      <c r="D65" s="395">
        <f>'9.1.1. sz. mell. '!C65+'9.1.2. sz. mell.'!C65</f>
        <v>3256834664</v>
      </c>
      <c r="E65" s="395">
        <f t="shared" si="0"/>
        <v>0</v>
      </c>
      <c r="F65" s="394">
        <f t="shared" si="1"/>
        <v>0</v>
      </c>
    </row>
    <row r="66" spans="1:6" s="50" customFormat="1" ht="12" customHeight="1" thickBot="1" x14ac:dyDescent="0.2">
      <c r="A66" s="217" t="s">
        <v>332</v>
      </c>
      <c r="B66" s="117" t="s">
        <v>244</v>
      </c>
      <c r="C66" s="281">
        <f>SUM(C67:C69)</f>
        <v>169269106</v>
      </c>
      <c r="D66" s="395">
        <f>'9.1.1. sz. mell. '!C66+'9.1.2. sz. mell.'!C66</f>
        <v>169269106</v>
      </c>
      <c r="E66" s="395">
        <f t="shared" si="0"/>
        <v>0</v>
      </c>
      <c r="F66" s="394">
        <f t="shared" si="1"/>
        <v>0</v>
      </c>
    </row>
    <row r="67" spans="1:6" s="50" customFormat="1" ht="12" customHeight="1" thickBot="1" x14ac:dyDescent="0.25">
      <c r="A67" s="214" t="s">
        <v>275</v>
      </c>
      <c r="B67" s="200" t="s">
        <v>245</v>
      </c>
      <c r="C67" s="265">
        <f>69269106</f>
        <v>69269106</v>
      </c>
      <c r="D67" s="395">
        <f>'9.1.1. sz. mell. '!C67+'9.1.2. sz. mell.'!C67</f>
        <v>69269106</v>
      </c>
      <c r="E67" s="396">
        <f t="shared" si="0"/>
        <v>0</v>
      </c>
      <c r="F67" s="394">
        <f t="shared" si="1"/>
        <v>0</v>
      </c>
    </row>
    <row r="68" spans="1:6" s="50" customFormat="1" ht="12" customHeight="1" thickBot="1" x14ac:dyDescent="0.25">
      <c r="A68" s="215" t="s">
        <v>284</v>
      </c>
      <c r="B68" s="201" t="s">
        <v>246</v>
      </c>
      <c r="C68" s="265">
        <v>100000000</v>
      </c>
      <c r="D68" s="395">
        <f>'9.1.1. sz. mell. '!C68+'9.1.2. sz. mell.'!C68</f>
        <v>100000000</v>
      </c>
      <c r="E68" s="397">
        <f t="shared" si="0"/>
        <v>0</v>
      </c>
      <c r="F68" s="394">
        <f t="shared" si="1"/>
        <v>0</v>
      </c>
    </row>
    <row r="69" spans="1:6" s="50" customFormat="1" ht="12" customHeight="1" thickBot="1" x14ac:dyDescent="0.25">
      <c r="A69" s="216" t="s">
        <v>285</v>
      </c>
      <c r="B69" s="203" t="s">
        <v>247</v>
      </c>
      <c r="C69" s="265"/>
      <c r="D69" s="395">
        <f>'9.1.1. sz. mell. '!C69+'9.1.2. sz. mell.'!C69</f>
        <v>0</v>
      </c>
      <c r="E69" s="398">
        <f t="shared" si="0"/>
        <v>0</v>
      </c>
      <c r="F69" s="394">
        <f t="shared" si="1"/>
        <v>0</v>
      </c>
    </row>
    <row r="70" spans="1:6" s="50" customFormat="1" ht="12" customHeight="1" thickBot="1" x14ac:dyDescent="0.2">
      <c r="A70" s="217" t="s">
        <v>248</v>
      </c>
      <c r="B70" s="117" t="s">
        <v>249</v>
      </c>
      <c r="C70" s="281">
        <f>SUM(C71:C74)</f>
        <v>0</v>
      </c>
      <c r="D70" s="395">
        <f>'9.1.1. sz. mell. '!C70+'9.1.2. sz. mell.'!C70</f>
        <v>0</v>
      </c>
      <c r="E70" s="395">
        <f t="shared" si="0"/>
        <v>0</v>
      </c>
      <c r="F70" s="394">
        <f t="shared" si="1"/>
        <v>0</v>
      </c>
    </row>
    <row r="71" spans="1:6" s="50" customFormat="1" ht="12" customHeight="1" thickBot="1" x14ac:dyDescent="0.25">
      <c r="A71" s="214" t="s">
        <v>122</v>
      </c>
      <c r="B71" s="200" t="s">
        <v>250</v>
      </c>
      <c r="C71" s="265"/>
      <c r="D71" s="395">
        <f>'9.1.1. sz. mell. '!C71+'9.1.2. sz. mell.'!C71</f>
        <v>0</v>
      </c>
      <c r="E71" s="396">
        <f t="shared" si="0"/>
        <v>0</v>
      </c>
      <c r="F71" s="394">
        <f t="shared" si="1"/>
        <v>0</v>
      </c>
    </row>
    <row r="72" spans="1:6" s="50" customFormat="1" ht="12" customHeight="1" thickBot="1" x14ac:dyDescent="0.25">
      <c r="A72" s="215" t="s">
        <v>123</v>
      </c>
      <c r="B72" s="201" t="s">
        <v>251</v>
      </c>
      <c r="C72" s="265"/>
      <c r="D72" s="395">
        <f>'9.1.1. sz. mell. '!C72+'9.1.2. sz. mell.'!C72</f>
        <v>0</v>
      </c>
      <c r="E72" s="397">
        <f t="shared" ref="E72:E90" si="2">C72-D72</f>
        <v>0</v>
      </c>
      <c r="F72" s="394">
        <f t="shared" si="1"/>
        <v>0</v>
      </c>
    </row>
    <row r="73" spans="1:6" s="50" customFormat="1" ht="12" customHeight="1" thickBot="1" x14ac:dyDescent="0.25">
      <c r="A73" s="215" t="s">
        <v>276</v>
      </c>
      <c r="B73" s="201" t="s">
        <v>252</v>
      </c>
      <c r="C73" s="265"/>
      <c r="D73" s="395">
        <f>'9.1.1. sz. mell. '!C73+'9.1.2. sz. mell.'!C73</f>
        <v>0</v>
      </c>
      <c r="E73" s="397">
        <f t="shared" si="2"/>
        <v>0</v>
      </c>
      <c r="F73" s="394">
        <f t="shared" ref="F73:F136" si="3">C73-D73</f>
        <v>0</v>
      </c>
    </row>
    <row r="74" spans="1:6" s="50" customFormat="1" ht="12" customHeight="1" thickBot="1" x14ac:dyDescent="0.25">
      <c r="A74" s="216" t="s">
        <v>277</v>
      </c>
      <c r="B74" s="202" t="s">
        <v>253</v>
      </c>
      <c r="C74" s="265"/>
      <c r="D74" s="395">
        <f>'9.1.1. sz. mell. '!C74+'9.1.2. sz. mell.'!C74</f>
        <v>0</v>
      </c>
      <c r="E74" s="398">
        <f t="shared" si="2"/>
        <v>0</v>
      </c>
      <c r="F74" s="394">
        <f t="shared" si="3"/>
        <v>0</v>
      </c>
    </row>
    <row r="75" spans="1:6" s="50" customFormat="1" ht="12" customHeight="1" thickBot="1" x14ac:dyDescent="0.2">
      <c r="A75" s="217" t="s">
        <v>254</v>
      </c>
      <c r="B75" s="117" t="s">
        <v>255</v>
      </c>
      <c r="C75" s="281">
        <f>SUM(C76:C77)</f>
        <v>349091822</v>
      </c>
      <c r="D75" s="395">
        <f>'9.1.1. sz. mell. '!C75+'9.1.2. sz. mell.'!C75</f>
        <v>349091822</v>
      </c>
      <c r="E75" s="395">
        <f t="shared" si="2"/>
        <v>0</v>
      </c>
      <c r="F75" s="394">
        <f t="shared" si="3"/>
        <v>0</v>
      </c>
    </row>
    <row r="76" spans="1:6" s="50" customFormat="1" ht="12" customHeight="1" thickBot="1" x14ac:dyDescent="0.25">
      <c r="A76" s="214" t="s">
        <v>278</v>
      </c>
      <c r="B76" s="200" t="s">
        <v>256</v>
      </c>
      <c r="C76" s="265">
        <f>346583469+2508353</f>
        <v>349091822</v>
      </c>
      <c r="D76" s="395">
        <f>'9.1.1. sz. mell. '!C76+'9.1.2. sz. mell.'!C76</f>
        <v>349091822</v>
      </c>
      <c r="E76" s="396">
        <f t="shared" si="2"/>
        <v>0</v>
      </c>
      <c r="F76" s="394">
        <f t="shared" si="3"/>
        <v>0</v>
      </c>
    </row>
    <row r="77" spans="1:6" s="50" customFormat="1" ht="12" customHeight="1" thickBot="1" x14ac:dyDescent="0.25">
      <c r="A77" s="216" t="s">
        <v>279</v>
      </c>
      <c r="B77" s="202" t="s">
        <v>257</v>
      </c>
      <c r="C77" s="265"/>
      <c r="D77" s="395">
        <f>'9.1.1. sz. mell. '!C77+'9.1.2. sz. mell.'!C77</f>
        <v>0</v>
      </c>
      <c r="E77" s="398">
        <f t="shared" si="2"/>
        <v>0</v>
      </c>
      <c r="F77" s="394">
        <f t="shared" si="3"/>
        <v>0</v>
      </c>
    </row>
    <row r="78" spans="1:6" s="49" customFormat="1" ht="12" customHeight="1" thickBot="1" x14ac:dyDescent="0.2">
      <c r="A78" s="217" t="s">
        <v>258</v>
      </c>
      <c r="B78" s="117" t="s">
        <v>259</v>
      </c>
      <c r="C78" s="281">
        <f>SUM(C79:C81)</f>
        <v>45672254</v>
      </c>
      <c r="D78" s="395">
        <f>'9.1.1. sz. mell. '!C78+'9.1.2. sz. mell.'!C78</f>
        <v>45672254</v>
      </c>
      <c r="E78" s="395">
        <f t="shared" si="2"/>
        <v>0</v>
      </c>
      <c r="F78" s="394">
        <f t="shared" si="3"/>
        <v>0</v>
      </c>
    </row>
    <row r="79" spans="1:6" s="50" customFormat="1" ht="12" customHeight="1" thickBot="1" x14ac:dyDescent="0.25">
      <c r="A79" s="214" t="s">
        <v>280</v>
      </c>
      <c r="B79" s="200" t="s">
        <v>260</v>
      </c>
      <c r="C79" s="1019">
        <v>45672254</v>
      </c>
      <c r="D79" s="395">
        <f>'9.1.1. sz. mell. '!C79+'9.1.2. sz. mell.'!C79</f>
        <v>45672254</v>
      </c>
      <c r="E79" s="396">
        <f t="shared" si="2"/>
        <v>0</v>
      </c>
      <c r="F79" s="394">
        <f t="shared" si="3"/>
        <v>0</v>
      </c>
    </row>
    <row r="80" spans="1:6" s="50" customFormat="1" ht="12" customHeight="1" thickBot="1" x14ac:dyDescent="0.25">
      <c r="A80" s="215" t="s">
        <v>281</v>
      </c>
      <c r="B80" s="201" t="s">
        <v>261</v>
      </c>
      <c r="C80" s="265"/>
      <c r="D80" s="395">
        <f>'9.1.1. sz. mell. '!C80+'9.1.2. sz. mell.'!C80</f>
        <v>0</v>
      </c>
      <c r="E80" s="397">
        <f t="shared" si="2"/>
        <v>0</v>
      </c>
      <c r="F80" s="394">
        <f t="shared" si="3"/>
        <v>0</v>
      </c>
    </row>
    <row r="81" spans="1:6" s="50" customFormat="1" ht="12" customHeight="1" thickBot="1" x14ac:dyDescent="0.25">
      <c r="A81" s="216" t="s">
        <v>282</v>
      </c>
      <c r="B81" s="202" t="s">
        <v>262</v>
      </c>
      <c r="C81" s="265"/>
      <c r="D81" s="395">
        <f>'9.1.1. sz. mell. '!C81+'9.1.2. sz. mell.'!C81</f>
        <v>0</v>
      </c>
      <c r="E81" s="398">
        <f t="shared" si="2"/>
        <v>0</v>
      </c>
      <c r="F81" s="394">
        <f t="shared" si="3"/>
        <v>0</v>
      </c>
    </row>
    <row r="82" spans="1:6" s="50" customFormat="1" ht="12" customHeight="1" thickBot="1" x14ac:dyDescent="0.2">
      <c r="A82" s="217" t="s">
        <v>263</v>
      </c>
      <c r="B82" s="117" t="s">
        <v>283</v>
      </c>
      <c r="C82" s="281">
        <f>SUM(C83:C86)</f>
        <v>0</v>
      </c>
      <c r="D82" s="395">
        <f>'9.1.1. sz. mell. '!C82+'9.1.2. sz. mell.'!C82</f>
        <v>0</v>
      </c>
      <c r="E82" s="395">
        <f t="shared" si="2"/>
        <v>0</v>
      </c>
      <c r="F82" s="394">
        <f t="shared" si="3"/>
        <v>0</v>
      </c>
    </row>
    <row r="83" spans="1:6" s="50" customFormat="1" ht="12" customHeight="1" thickBot="1" x14ac:dyDescent="0.25">
      <c r="A83" s="218" t="s">
        <v>264</v>
      </c>
      <c r="B83" s="200" t="s">
        <v>265</v>
      </c>
      <c r="C83" s="265"/>
      <c r="D83" s="395">
        <f>'9.1.1. sz. mell. '!C83+'9.1.2. sz. mell.'!C83</f>
        <v>0</v>
      </c>
      <c r="E83" s="396">
        <f t="shared" si="2"/>
        <v>0</v>
      </c>
      <c r="F83" s="394">
        <f t="shared" si="3"/>
        <v>0</v>
      </c>
    </row>
    <row r="84" spans="1:6" s="50" customFormat="1" ht="12" customHeight="1" thickBot="1" x14ac:dyDescent="0.25">
      <c r="A84" s="219" t="s">
        <v>266</v>
      </c>
      <c r="B84" s="201" t="s">
        <v>267</v>
      </c>
      <c r="C84" s="265"/>
      <c r="D84" s="395">
        <f>'9.1.1. sz. mell. '!C84+'9.1.2. sz. mell.'!C84</f>
        <v>0</v>
      </c>
      <c r="E84" s="397">
        <f t="shared" si="2"/>
        <v>0</v>
      </c>
      <c r="F84" s="394">
        <f t="shared" si="3"/>
        <v>0</v>
      </c>
    </row>
    <row r="85" spans="1:6" s="50" customFormat="1" ht="12" customHeight="1" thickBot="1" x14ac:dyDescent="0.25">
      <c r="A85" s="219" t="s">
        <v>268</v>
      </c>
      <c r="B85" s="201" t="s">
        <v>269</v>
      </c>
      <c r="C85" s="265"/>
      <c r="D85" s="395">
        <f>'9.1.1. sz. mell. '!C85+'9.1.2. sz. mell.'!C85</f>
        <v>0</v>
      </c>
      <c r="E85" s="397">
        <f t="shared" si="2"/>
        <v>0</v>
      </c>
      <c r="F85" s="394">
        <f t="shared" si="3"/>
        <v>0</v>
      </c>
    </row>
    <row r="86" spans="1:6" s="49" customFormat="1" ht="12" customHeight="1" thickBot="1" x14ac:dyDescent="0.25">
      <c r="A86" s="220" t="s">
        <v>270</v>
      </c>
      <c r="B86" s="202" t="s">
        <v>271</v>
      </c>
      <c r="C86" s="265"/>
      <c r="D86" s="395">
        <f>'9.1.1. sz. mell. '!C86+'9.1.2. sz. mell.'!C86</f>
        <v>0</v>
      </c>
      <c r="E86" s="398">
        <f t="shared" si="2"/>
        <v>0</v>
      </c>
      <c r="F86" s="394">
        <f t="shared" si="3"/>
        <v>0</v>
      </c>
    </row>
    <row r="87" spans="1:6" s="49" customFormat="1" ht="12" customHeight="1" thickBot="1" x14ac:dyDescent="0.2">
      <c r="A87" s="217" t="s">
        <v>272</v>
      </c>
      <c r="B87" s="117" t="s">
        <v>453</v>
      </c>
      <c r="C87" s="286"/>
      <c r="D87" s="395">
        <f>'9.1.1. sz. mell. '!C87+'9.1.2. sz. mell.'!C87</f>
        <v>0</v>
      </c>
      <c r="E87" s="395">
        <f t="shared" si="2"/>
        <v>0</v>
      </c>
      <c r="F87" s="394">
        <f t="shared" si="3"/>
        <v>0</v>
      </c>
    </row>
    <row r="88" spans="1:6" s="49" customFormat="1" ht="12" customHeight="1" thickBot="1" x14ac:dyDescent="0.2">
      <c r="A88" s="217" t="s">
        <v>505</v>
      </c>
      <c r="B88" s="117" t="s">
        <v>273</v>
      </c>
      <c r="C88" s="286"/>
      <c r="D88" s="395">
        <f>'9.1.1. sz. mell. '!C88+'9.1.2. sz. mell.'!C88</f>
        <v>0</v>
      </c>
      <c r="E88" s="395">
        <f t="shared" si="2"/>
        <v>0</v>
      </c>
      <c r="F88" s="394">
        <f t="shared" si="3"/>
        <v>0</v>
      </c>
    </row>
    <row r="89" spans="1:6" s="49" customFormat="1" ht="12" customHeight="1" thickBot="1" x14ac:dyDescent="0.2">
      <c r="A89" s="217" t="s">
        <v>506</v>
      </c>
      <c r="B89" s="207" t="s">
        <v>454</v>
      </c>
      <c r="C89" s="284">
        <f>+C66+C70+C75+C78+C82+C88+C87</f>
        <v>564033182</v>
      </c>
      <c r="D89" s="395">
        <f>'9.1.1. sz. mell. '!C89+'9.1.2. sz. mell.'!C89</f>
        <v>564033182</v>
      </c>
      <c r="E89" s="395">
        <f t="shared" si="2"/>
        <v>0</v>
      </c>
      <c r="F89" s="394">
        <f t="shared" si="3"/>
        <v>0</v>
      </c>
    </row>
    <row r="90" spans="1:6" s="49" customFormat="1" ht="12" customHeight="1" thickBot="1" x14ac:dyDescent="0.2">
      <c r="A90" s="221" t="s">
        <v>507</v>
      </c>
      <c r="B90" s="208" t="s">
        <v>508</v>
      </c>
      <c r="C90" s="284">
        <f>+C65+C89</f>
        <v>3820867846</v>
      </c>
      <c r="D90" s="395">
        <f>'9.1.1. sz. mell. '!C90+'9.1.2. sz. mell.'!C90</f>
        <v>3820867846</v>
      </c>
      <c r="E90" s="395">
        <f t="shared" si="2"/>
        <v>0</v>
      </c>
      <c r="F90" s="394">
        <f t="shared" si="3"/>
        <v>0</v>
      </c>
    </row>
    <row r="91" spans="1:6" s="50" customFormat="1" ht="15" customHeight="1" thickBot="1" x14ac:dyDescent="0.25">
      <c r="A91" s="98"/>
      <c r="B91" s="99"/>
      <c r="C91" s="176"/>
      <c r="D91" s="395">
        <f>'9.1.1. sz. mell. '!C91+'9.1.2. sz. mell.'!C91</f>
        <v>0</v>
      </c>
      <c r="E91" s="391"/>
      <c r="F91" s="394">
        <f t="shared" si="3"/>
        <v>0</v>
      </c>
    </row>
    <row r="92" spans="1:6" s="40" customFormat="1" ht="16.5" customHeight="1" thickBot="1" x14ac:dyDescent="0.25">
      <c r="A92" s="102"/>
      <c r="B92" s="103" t="s">
        <v>58</v>
      </c>
      <c r="C92" s="178"/>
      <c r="D92" s="395">
        <f>'9.1.1. sz. mell. '!C92+'9.1.2. sz. mell.'!C92</f>
        <v>0</v>
      </c>
      <c r="E92" s="391"/>
      <c r="F92" s="394">
        <f t="shared" si="3"/>
        <v>0</v>
      </c>
    </row>
    <row r="93" spans="1:6" s="51" customFormat="1" ht="12" customHeight="1" thickBot="1" x14ac:dyDescent="0.25">
      <c r="A93" s="28" t="s">
        <v>19</v>
      </c>
      <c r="B93" s="23" t="s">
        <v>518</v>
      </c>
      <c r="C93" s="281">
        <f>+C94+C95+C96+C97+C98+C111</f>
        <v>818822843</v>
      </c>
      <c r="D93" s="395">
        <f>'9.1.1. sz. mell. '!C93+'9.1.2. sz. mell.'!C93</f>
        <v>818822843</v>
      </c>
      <c r="E93" s="395">
        <f t="shared" ref="E93:E156" si="4">C93-D93</f>
        <v>0</v>
      </c>
      <c r="F93" s="394">
        <f t="shared" si="3"/>
        <v>0</v>
      </c>
    </row>
    <row r="94" spans="1:6" ht="12" customHeight="1" thickBot="1" x14ac:dyDescent="0.25">
      <c r="A94" s="222" t="s">
        <v>95</v>
      </c>
      <c r="B94" s="8" t="s">
        <v>49</v>
      </c>
      <c r="C94" s="872">
        <f>23173251+2787126+1407675+14384916+61829+2528076+5742073+47565+3199848+1778250-1778250+2716226+13976574+161555-6623900-290839+115774-2658508</f>
        <v>60729241</v>
      </c>
      <c r="D94" s="395">
        <f>'9.1.1. sz. mell. '!C94+'9.1.2. sz. mell.'!C94</f>
        <v>60729241</v>
      </c>
      <c r="E94" s="396">
        <f t="shared" si="4"/>
        <v>0</v>
      </c>
      <c r="F94" s="394">
        <f t="shared" si="3"/>
        <v>0</v>
      </c>
    </row>
    <row r="95" spans="1:6" ht="12" customHeight="1" thickBot="1" x14ac:dyDescent="0.25">
      <c r="A95" s="215" t="s">
        <v>96</v>
      </c>
      <c r="B95" s="6" t="s">
        <v>144</v>
      </c>
      <c r="C95" s="1019">
        <f>4364055+1409889+7817+2684650+14227+10944+444000+1007723+24592+561576+346750-346750+474193+2156830+25445-1043264-34782+41653-300000</f>
        <v>11849548</v>
      </c>
      <c r="D95" s="395">
        <f>'9.1.1. sz. mell. '!C95+'9.1.2. sz. mell.'!C95</f>
        <v>11849548</v>
      </c>
      <c r="E95" s="397">
        <f t="shared" si="4"/>
        <v>0</v>
      </c>
      <c r="F95" s="394">
        <f t="shared" si="3"/>
        <v>0</v>
      </c>
    </row>
    <row r="96" spans="1:6" ht="12" customHeight="1" thickBot="1" x14ac:dyDescent="0.25">
      <c r="A96" s="215" t="s">
        <v>97</v>
      </c>
      <c r="B96" s="6" t="s">
        <v>120</v>
      </c>
      <c r="C96" s="1027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-16660-52437-28658992-4000000</f>
        <v>372549984</v>
      </c>
      <c r="D96" s="395">
        <f>'9.1.1. sz. mell. '!C96+'9.1.2. sz. mell.'!C96</f>
        <v>372549984</v>
      </c>
      <c r="E96" s="397">
        <f t="shared" si="4"/>
        <v>0</v>
      </c>
      <c r="F96" s="394">
        <f t="shared" si="3"/>
        <v>0</v>
      </c>
    </row>
    <row r="97" spans="1:6" ht="12" customHeight="1" thickBot="1" x14ac:dyDescent="0.25">
      <c r="A97" s="215" t="s">
        <v>98</v>
      </c>
      <c r="B97" s="9" t="s">
        <v>145</v>
      </c>
      <c r="C97" s="1005">
        <f>24250000+48100000+3500000-24250000</f>
        <v>51600000</v>
      </c>
      <c r="D97" s="395">
        <f>'9.1.1. sz. mell. '!C97+'9.1.2. sz. mell.'!C97</f>
        <v>51600000</v>
      </c>
      <c r="E97" s="397">
        <f t="shared" si="4"/>
        <v>0</v>
      </c>
      <c r="F97" s="394">
        <f t="shared" si="3"/>
        <v>0</v>
      </c>
    </row>
    <row r="98" spans="1:6" ht="12" customHeight="1" thickBot="1" x14ac:dyDescent="0.25">
      <c r="A98" s="215" t="s">
        <v>109</v>
      </c>
      <c r="B98" s="17" t="s">
        <v>146</v>
      </c>
      <c r="C98" s="1113">
        <f>SUM(C99:C110)</f>
        <v>259113328</v>
      </c>
      <c r="D98" s="395">
        <f>'9.1.1. sz. mell. '!C98+'9.1.2. sz. mell.'!C98</f>
        <v>259113328</v>
      </c>
      <c r="E98" s="397">
        <f t="shared" si="4"/>
        <v>0</v>
      </c>
      <c r="F98" s="394">
        <f t="shared" si="3"/>
        <v>0</v>
      </c>
    </row>
    <row r="99" spans="1:6" ht="12" customHeight="1" thickBot="1" x14ac:dyDescent="0.25">
      <c r="A99" s="215" t="s">
        <v>99</v>
      </c>
      <c r="B99" s="6" t="s">
        <v>509</v>
      </c>
      <c r="C99" s="1005">
        <f>100000+3200000+6500000</f>
        <v>9800000</v>
      </c>
      <c r="D99" s="395">
        <f>'9.1.1. sz. mell. '!C99+'9.1.2. sz. mell.'!C99</f>
        <v>9800000</v>
      </c>
      <c r="E99" s="397">
        <f t="shared" si="4"/>
        <v>0</v>
      </c>
      <c r="F99" s="394">
        <f t="shared" si="3"/>
        <v>0</v>
      </c>
    </row>
    <row r="100" spans="1:6" ht="12" customHeight="1" thickBot="1" x14ac:dyDescent="0.25">
      <c r="A100" s="215" t="s">
        <v>100</v>
      </c>
      <c r="B100" s="71" t="s">
        <v>458</v>
      </c>
      <c r="C100" s="269"/>
      <c r="D100" s="395">
        <f>'9.1.1. sz. mell. '!C100+'9.1.2. sz. mell.'!C100</f>
        <v>0</v>
      </c>
      <c r="E100" s="397">
        <f t="shared" si="4"/>
        <v>0</v>
      </c>
      <c r="F100" s="394">
        <f t="shared" si="3"/>
        <v>0</v>
      </c>
    </row>
    <row r="101" spans="1:6" ht="12" customHeight="1" thickBot="1" x14ac:dyDescent="0.25">
      <c r="A101" s="215" t="s">
        <v>110</v>
      </c>
      <c r="B101" s="71" t="s">
        <v>459</v>
      </c>
      <c r="C101" s="269"/>
      <c r="D101" s="395">
        <f>'9.1.1. sz. mell. '!C101+'9.1.2. sz. mell.'!C101</f>
        <v>0</v>
      </c>
      <c r="E101" s="397">
        <f t="shared" si="4"/>
        <v>0</v>
      </c>
      <c r="F101" s="394">
        <f t="shared" si="3"/>
        <v>0</v>
      </c>
    </row>
    <row r="102" spans="1:6" ht="12" customHeight="1" thickBot="1" x14ac:dyDescent="0.25">
      <c r="A102" s="215" t="s">
        <v>111</v>
      </c>
      <c r="B102" s="71" t="s">
        <v>289</v>
      </c>
      <c r="C102" s="269"/>
      <c r="D102" s="395">
        <f>'9.1.1. sz. mell. '!C102+'9.1.2. sz. mell.'!C102</f>
        <v>0</v>
      </c>
      <c r="E102" s="397">
        <f t="shared" si="4"/>
        <v>0</v>
      </c>
      <c r="F102" s="394">
        <f t="shared" si="3"/>
        <v>0</v>
      </c>
    </row>
    <row r="103" spans="1:6" ht="12" customHeight="1" thickBot="1" x14ac:dyDescent="0.25">
      <c r="A103" s="215" t="s">
        <v>112</v>
      </c>
      <c r="B103" s="72" t="s">
        <v>290</v>
      </c>
      <c r="C103" s="269"/>
      <c r="D103" s="395">
        <f>'9.1.1. sz. mell. '!C103+'9.1.2. sz. mell.'!C103</f>
        <v>0</v>
      </c>
      <c r="E103" s="397">
        <f t="shared" si="4"/>
        <v>0</v>
      </c>
      <c r="F103" s="394">
        <f t="shared" si="3"/>
        <v>0</v>
      </c>
    </row>
    <row r="104" spans="1:6" ht="12" customHeight="1" thickBot="1" x14ac:dyDescent="0.25">
      <c r="A104" s="215" t="s">
        <v>113</v>
      </c>
      <c r="B104" s="72" t="s">
        <v>291</v>
      </c>
      <c r="C104" s="269"/>
      <c r="D104" s="395">
        <f>'9.1.1. sz. mell. '!C104+'9.1.2. sz. mell.'!C104</f>
        <v>0</v>
      </c>
      <c r="E104" s="397">
        <f t="shared" si="4"/>
        <v>0</v>
      </c>
      <c r="F104" s="394">
        <f t="shared" si="3"/>
        <v>0</v>
      </c>
    </row>
    <row r="105" spans="1:6" ht="12" customHeight="1" thickBot="1" x14ac:dyDescent="0.25">
      <c r="A105" s="215" t="s">
        <v>115</v>
      </c>
      <c r="B105" s="71" t="s">
        <v>292</v>
      </c>
      <c r="C105" s="269">
        <f>523000+67500</f>
        <v>590500</v>
      </c>
      <c r="D105" s="395">
        <f>'9.1.1. sz. mell. '!C105+'9.1.2. sz. mell.'!C105</f>
        <v>590500</v>
      </c>
      <c r="E105" s="397">
        <f t="shared" si="4"/>
        <v>0</v>
      </c>
      <c r="F105" s="394">
        <f t="shared" si="3"/>
        <v>0</v>
      </c>
    </row>
    <row r="106" spans="1:6" ht="12" customHeight="1" thickBot="1" x14ac:dyDescent="0.25">
      <c r="A106" s="215" t="s">
        <v>147</v>
      </c>
      <c r="B106" s="71" t="s">
        <v>293</v>
      </c>
      <c r="C106" s="269"/>
      <c r="D106" s="395">
        <f>'9.1.1. sz. mell. '!C106+'9.1.2. sz. mell.'!C106</f>
        <v>0</v>
      </c>
      <c r="E106" s="397">
        <f t="shared" si="4"/>
        <v>0</v>
      </c>
      <c r="F106" s="394">
        <f t="shared" si="3"/>
        <v>0</v>
      </c>
    </row>
    <row r="107" spans="1:6" ht="12" customHeight="1" thickBot="1" x14ac:dyDescent="0.25">
      <c r="A107" s="215" t="s">
        <v>287</v>
      </c>
      <c r="B107" s="72" t="s">
        <v>294</v>
      </c>
      <c r="C107" s="269">
        <f>400000+15000000</f>
        <v>15400000</v>
      </c>
      <c r="D107" s="395">
        <f>'9.1.1. sz. mell. '!C107+'9.1.2. sz. mell.'!C107</f>
        <v>15400000</v>
      </c>
      <c r="E107" s="397">
        <f t="shared" si="4"/>
        <v>0</v>
      </c>
      <c r="F107" s="394">
        <f t="shared" si="3"/>
        <v>0</v>
      </c>
    </row>
    <row r="108" spans="1:6" ht="12" customHeight="1" thickBot="1" x14ac:dyDescent="0.25">
      <c r="A108" s="223" t="s">
        <v>288</v>
      </c>
      <c r="B108" s="73" t="s">
        <v>295</v>
      </c>
      <c r="C108" s="269"/>
      <c r="D108" s="395">
        <f>'9.1.1. sz. mell. '!C108+'9.1.2. sz. mell.'!C108</f>
        <v>0</v>
      </c>
      <c r="E108" s="397">
        <f t="shared" si="4"/>
        <v>0</v>
      </c>
      <c r="F108" s="394">
        <f t="shared" si="3"/>
        <v>0</v>
      </c>
    </row>
    <row r="109" spans="1:6" ht="12" customHeight="1" thickBot="1" x14ac:dyDescent="0.25">
      <c r="A109" s="215" t="s">
        <v>460</v>
      </c>
      <c r="B109" s="73" t="s">
        <v>296</v>
      </c>
      <c r="C109" s="269"/>
      <c r="D109" s="395">
        <f>'9.1.1. sz. mell. '!C109+'9.1.2. sz. mell.'!C109</f>
        <v>0</v>
      </c>
      <c r="E109" s="397">
        <f t="shared" si="4"/>
        <v>0</v>
      </c>
      <c r="F109" s="394">
        <f t="shared" si="3"/>
        <v>0</v>
      </c>
    </row>
    <row r="110" spans="1:6" ht="12" customHeight="1" thickBot="1" x14ac:dyDescent="0.25">
      <c r="A110" s="215" t="s">
        <v>461</v>
      </c>
      <c r="B110" s="72" t="s">
        <v>297</v>
      </c>
      <c r="C110" s="1019">
        <f>1000000+47869145+6604733+15489215+46984511+23326783+69312000+7332000+1437616+580000+1338067-7332000+9625137+15000000+5755621-15000000+4000000</f>
        <v>233322828</v>
      </c>
      <c r="D110" s="395">
        <f>'9.1.1. sz. mell. '!C110+'9.1.2. sz. mell.'!C110</f>
        <v>233322828</v>
      </c>
      <c r="E110" s="397">
        <f t="shared" si="4"/>
        <v>0</v>
      </c>
      <c r="F110" s="394">
        <f t="shared" si="3"/>
        <v>0</v>
      </c>
    </row>
    <row r="111" spans="1:6" ht="12" customHeight="1" thickBot="1" x14ac:dyDescent="0.25">
      <c r="A111" s="215" t="s">
        <v>462</v>
      </c>
      <c r="B111" s="9" t="s">
        <v>50</v>
      </c>
      <c r="C111" s="1019">
        <f>SUM(C112:C113)</f>
        <v>62980742</v>
      </c>
      <c r="D111" s="395">
        <f>'9.1.1. sz. mell. '!C111+'9.1.2. sz. mell.'!C111</f>
        <v>62980742</v>
      </c>
      <c r="E111" s="397">
        <f t="shared" si="4"/>
        <v>0</v>
      </c>
      <c r="F111" s="394">
        <f t="shared" si="3"/>
        <v>0</v>
      </c>
    </row>
    <row r="112" spans="1:6" ht="12" customHeight="1" thickBot="1" x14ac:dyDescent="0.25">
      <c r="A112" s="216" t="s">
        <v>463</v>
      </c>
      <c r="B112" s="6" t="s">
        <v>510</v>
      </c>
      <c r="C112" s="1027">
        <f>15000000-580000+1410503+2373731-7043400-3015664+1903020-5520064+42419195-2253677-6432757-11677120-1761209-23319276+4000000</f>
        <v>5503282</v>
      </c>
      <c r="D112" s="395">
        <f>'9.1.1. sz. mell. '!C112+'9.1.2. sz. mell.'!C112</f>
        <v>5503282</v>
      </c>
      <c r="E112" s="397">
        <f t="shared" si="4"/>
        <v>0</v>
      </c>
      <c r="F112" s="394">
        <f t="shared" si="3"/>
        <v>0</v>
      </c>
    </row>
    <row r="113" spans="1:6" ht="12" customHeight="1" thickBot="1" x14ac:dyDescent="0.25">
      <c r="A113" s="224" t="s">
        <v>465</v>
      </c>
      <c r="B113" s="74" t="s">
        <v>511</v>
      </c>
      <c r="C113" s="1074">
        <f>63390965+131495-200000-100000-3560000-150000+5985000-420000-3000000-4600000</f>
        <v>57477460</v>
      </c>
      <c r="D113" s="395">
        <f>'9.1.1. sz. mell. '!C113+'9.1.2. sz. mell.'!C113</f>
        <v>57477460</v>
      </c>
      <c r="E113" s="398">
        <f t="shared" si="4"/>
        <v>0</v>
      </c>
      <c r="F113" s="394">
        <f t="shared" si="3"/>
        <v>0</v>
      </c>
    </row>
    <row r="114" spans="1:6" ht="12" customHeight="1" thickBot="1" x14ac:dyDescent="0.25">
      <c r="A114" s="28" t="s">
        <v>20</v>
      </c>
      <c r="B114" s="23" t="s">
        <v>298</v>
      </c>
      <c r="C114" s="281">
        <f>+C115+C117+C119</f>
        <v>1365718931</v>
      </c>
      <c r="D114" s="395">
        <f>'9.1.1. sz. mell. '!C114+'9.1.2. sz. mell.'!C114</f>
        <v>1365718931</v>
      </c>
      <c r="E114" s="395">
        <f t="shared" si="4"/>
        <v>0</v>
      </c>
      <c r="F114" s="394">
        <f t="shared" si="3"/>
        <v>0</v>
      </c>
    </row>
    <row r="115" spans="1:6" ht="12" customHeight="1" thickBot="1" x14ac:dyDescent="0.25">
      <c r="A115" s="214" t="s">
        <v>101</v>
      </c>
      <c r="B115" s="6" t="s">
        <v>163</v>
      </c>
      <c r="C115" s="891">
        <f>229989520+300000+13809000+835610+12076323+1270000+359410+4508500+2505001+5000+6704583+82307980+346116+7239000+230000+283798100-23353056+213398050-140102+559520+190244-100000</f>
        <v>836838799</v>
      </c>
      <c r="D115" s="395">
        <f>'9.1.1. sz. mell. '!C115+'9.1.2. sz. mell.'!C115</f>
        <v>836838799</v>
      </c>
      <c r="E115" s="396">
        <f t="shared" si="4"/>
        <v>0</v>
      </c>
      <c r="F115" s="394">
        <f t="shared" si="3"/>
        <v>0</v>
      </c>
    </row>
    <row r="116" spans="1:6" ht="12" customHeight="1" thickBot="1" x14ac:dyDescent="0.25">
      <c r="A116" s="214" t="s">
        <v>102</v>
      </c>
      <c r="B116" s="10" t="s">
        <v>302</v>
      </c>
      <c r="C116" s="891">
        <f>156693000+42191010+12076323+6704583+82307980+283698100-23353056+152706150-140102-100000</f>
        <v>712783988</v>
      </c>
      <c r="D116" s="395">
        <f>'9.1.1. sz. mell. '!C116+'9.1.2. sz. mell.'!C116</f>
        <v>712783988</v>
      </c>
      <c r="E116" s="397">
        <f t="shared" si="4"/>
        <v>0</v>
      </c>
      <c r="F116" s="394">
        <f t="shared" si="3"/>
        <v>0</v>
      </c>
    </row>
    <row r="117" spans="1:6" ht="12" customHeight="1" thickBot="1" x14ac:dyDescent="0.25">
      <c r="A117" s="214" t="s">
        <v>103</v>
      </c>
      <c r="B117" s="10" t="s">
        <v>148</v>
      </c>
      <c r="C117" s="1019">
        <f>9517731+51474577+42450993+1905000+81765265+315941060+88900-1182500</f>
        <v>501961026</v>
      </c>
      <c r="D117" s="395">
        <f>'9.1.1. sz. mell. '!C117+'9.1.2. sz. mell.'!C117</f>
        <v>501961026</v>
      </c>
      <c r="E117" s="397">
        <f t="shared" si="4"/>
        <v>0</v>
      </c>
      <c r="F117" s="394">
        <f t="shared" si="3"/>
        <v>0</v>
      </c>
    </row>
    <row r="118" spans="1:6" ht="12" customHeight="1" thickBot="1" x14ac:dyDescent="0.25">
      <c r="A118" s="214" t="s">
        <v>104</v>
      </c>
      <c r="B118" s="10" t="s">
        <v>303</v>
      </c>
      <c r="C118" s="1019">
        <f>28614577+42450993-1206500+80112238-100000</f>
        <v>149871308</v>
      </c>
      <c r="D118" s="395">
        <f>'9.1.1. sz. mell. '!C118+'9.1.2. sz. mell.'!C118</f>
        <v>149871308</v>
      </c>
      <c r="E118" s="397">
        <f t="shared" si="4"/>
        <v>0</v>
      </c>
      <c r="F118" s="394">
        <f t="shared" si="3"/>
        <v>0</v>
      </c>
    </row>
    <row r="119" spans="1:6" ht="12" customHeight="1" thickBot="1" x14ac:dyDescent="0.25">
      <c r="A119" s="214" t="s">
        <v>105</v>
      </c>
      <c r="B119" s="119" t="s">
        <v>165</v>
      </c>
      <c r="C119" s="265">
        <f>SUM(C120:C127)</f>
        <v>26919106</v>
      </c>
      <c r="D119" s="395">
        <f>'9.1.1. sz. mell. '!C119+'9.1.2. sz. mell.'!C119</f>
        <v>26919106</v>
      </c>
      <c r="E119" s="397">
        <f t="shared" si="4"/>
        <v>0</v>
      </c>
      <c r="F119" s="394">
        <f t="shared" si="3"/>
        <v>0</v>
      </c>
    </row>
    <row r="120" spans="1:6" ht="12" customHeight="1" thickBot="1" x14ac:dyDescent="0.25">
      <c r="A120" s="214" t="s">
        <v>114</v>
      </c>
      <c r="B120" s="118" t="s">
        <v>365</v>
      </c>
      <c r="C120" s="111"/>
      <c r="D120" s="395">
        <f>'9.1.1. sz. mell. '!C120+'9.1.2. sz. mell.'!C120</f>
        <v>0</v>
      </c>
      <c r="E120" s="397">
        <f t="shared" si="4"/>
        <v>0</v>
      </c>
      <c r="F120" s="394">
        <f t="shared" si="3"/>
        <v>0</v>
      </c>
    </row>
    <row r="121" spans="1:6" ht="12" customHeight="1" thickBot="1" x14ac:dyDescent="0.25">
      <c r="A121" s="214" t="s">
        <v>116</v>
      </c>
      <c r="B121" s="196" t="s">
        <v>308</v>
      </c>
      <c r="C121" s="111"/>
      <c r="D121" s="395">
        <f>'9.1.1. sz. mell. '!C121+'9.1.2. sz. mell.'!C121</f>
        <v>0</v>
      </c>
      <c r="E121" s="397">
        <f t="shared" si="4"/>
        <v>0</v>
      </c>
      <c r="F121" s="394">
        <f t="shared" si="3"/>
        <v>0</v>
      </c>
    </row>
    <row r="122" spans="1:6" ht="12" customHeight="1" thickBot="1" x14ac:dyDescent="0.25">
      <c r="A122" s="214" t="s">
        <v>149</v>
      </c>
      <c r="B122" s="72" t="s">
        <v>291</v>
      </c>
      <c r="C122" s="111"/>
      <c r="D122" s="395">
        <f>'9.1.1. sz. mell. '!C122+'9.1.2. sz. mell.'!C122</f>
        <v>0</v>
      </c>
      <c r="E122" s="397">
        <f t="shared" si="4"/>
        <v>0</v>
      </c>
      <c r="F122" s="394">
        <f t="shared" si="3"/>
        <v>0</v>
      </c>
    </row>
    <row r="123" spans="1:6" ht="12" customHeight="1" thickBot="1" x14ac:dyDescent="0.25">
      <c r="A123" s="214" t="s">
        <v>150</v>
      </c>
      <c r="B123" s="72" t="s">
        <v>307</v>
      </c>
      <c r="C123" s="111"/>
      <c r="D123" s="395">
        <f>'9.1.1. sz. mell. '!C123+'9.1.2. sz. mell.'!C123</f>
        <v>0</v>
      </c>
      <c r="E123" s="397">
        <f t="shared" si="4"/>
        <v>0</v>
      </c>
      <c r="F123" s="394">
        <f t="shared" si="3"/>
        <v>0</v>
      </c>
    </row>
    <row r="124" spans="1:6" ht="12" customHeight="1" thickBot="1" x14ac:dyDescent="0.25">
      <c r="A124" s="214" t="s">
        <v>151</v>
      </c>
      <c r="B124" s="72" t="s">
        <v>306</v>
      </c>
      <c r="C124" s="111"/>
      <c r="D124" s="395">
        <f>'9.1.1. sz. mell. '!C124+'9.1.2. sz. mell.'!C124</f>
        <v>0</v>
      </c>
      <c r="E124" s="397">
        <f t="shared" si="4"/>
        <v>0</v>
      </c>
      <c r="F124" s="394">
        <f t="shared" si="3"/>
        <v>0</v>
      </c>
    </row>
    <row r="125" spans="1:6" ht="12" customHeight="1" thickBot="1" x14ac:dyDescent="0.25">
      <c r="A125" s="214" t="s">
        <v>299</v>
      </c>
      <c r="B125" s="72" t="s">
        <v>294</v>
      </c>
      <c r="C125" s="111"/>
      <c r="D125" s="395">
        <f>'9.1.1. sz. mell. '!C125+'9.1.2. sz. mell.'!C125</f>
        <v>0</v>
      </c>
      <c r="E125" s="397">
        <f t="shared" si="4"/>
        <v>0</v>
      </c>
      <c r="F125" s="394">
        <f t="shared" si="3"/>
        <v>0</v>
      </c>
    </row>
    <row r="126" spans="1:6" ht="12" customHeight="1" thickBot="1" x14ac:dyDescent="0.25">
      <c r="A126" s="214" t="s">
        <v>300</v>
      </c>
      <c r="B126" s="72" t="s">
        <v>305</v>
      </c>
      <c r="C126" s="111"/>
      <c r="D126" s="395">
        <f>'9.1.1. sz. mell. '!C126+'9.1.2. sz. mell.'!C126</f>
        <v>0</v>
      </c>
      <c r="E126" s="397">
        <f t="shared" si="4"/>
        <v>0</v>
      </c>
      <c r="F126" s="394">
        <f t="shared" si="3"/>
        <v>0</v>
      </c>
    </row>
    <row r="127" spans="1:6" ht="12" customHeight="1" thickBot="1" x14ac:dyDescent="0.25">
      <c r="A127" s="223" t="s">
        <v>301</v>
      </c>
      <c r="B127" s="72" t="s">
        <v>304</v>
      </c>
      <c r="C127" s="269">
        <f>650000+26269106</f>
        <v>26919106</v>
      </c>
      <c r="D127" s="395">
        <f>'9.1.1. sz. mell. '!C127+'9.1.2. sz. mell.'!C127</f>
        <v>26919106</v>
      </c>
      <c r="E127" s="398">
        <f t="shared" si="4"/>
        <v>0</v>
      </c>
      <c r="F127" s="394">
        <f t="shared" si="3"/>
        <v>0</v>
      </c>
    </row>
    <row r="128" spans="1:6" ht="12" customHeight="1" thickBot="1" x14ac:dyDescent="0.25">
      <c r="A128" s="28" t="s">
        <v>21</v>
      </c>
      <c r="B128" s="67" t="s">
        <v>467</v>
      </c>
      <c r="C128" s="281">
        <f>+C93+C114</f>
        <v>2184541774</v>
      </c>
      <c r="D128" s="395">
        <f>'9.1.1. sz. mell. '!C128+'9.1.2. sz. mell.'!C128</f>
        <v>2184541774</v>
      </c>
      <c r="E128" s="395">
        <f t="shared" si="4"/>
        <v>0</v>
      </c>
      <c r="F128" s="394">
        <f t="shared" si="3"/>
        <v>0</v>
      </c>
    </row>
    <row r="129" spans="1:9" ht="12" customHeight="1" thickBot="1" x14ac:dyDescent="0.25">
      <c r="A129" s="28" t="s">
        <v>22</v>
      </c>
      <c r="B129" s="67" t="s">
        <v>468</v>
      </c>
      <c r="C129" s="281">
        <f>+C130+C131+C132</f>
        <v>116952500</v>
      </c>
      <c r="D129" s="395">
        <f>'9.1.1. sz. mell. '!C129+'9.1.2. sz. mell.'!C129</f>
        <v>116952500</v>
      </c>
      <c r="E129" s="395">
        <f t="shared" si="4"/>
        <v>0</v>
      </c>
      <c r="F129" s="394">
        <f t="shared" si="3"/>
        <v>0</v>
      </c>
    </row>
    <row r="130" spans="1:9" s="51" customFormat="1" ht="12" customHeight="1" thickBot="1" x14ac:dyDescent="0.25">
      <c r="A130" s="214" t="s">
        <v>200</v>
      </c>
      <c r="B130" s="7" t="s">
        <v>512</v>
      </c>
      <c r="C130" s="265">
        <f>11674500+5278000</f>
        <v>16952500</v>
      </c>
      <c r="D130" s="395">
        <f>'9.1.1. sz. mell. '!C130+'9.1.2. sz. mell.'!C130</f>
        <v>16952500</v>
      </c>
      <c r="E130" s="396">
        <f t="shared" si="4"/>
        <v>0</v>
      </c>
      <c r="F130" s="394">
        <f t="shared" si="3"/>
        <v>0</v>
      </c>
    </row>
    <row r="131" spans="1:9" ht="12" customHeight="1" thickBot="1" x14ac:dyDescent="0.25">
      <c r="A131" s="214" t="s">
        <v>203</v>
      </c>
      <c r="B131" s="7" t="s">
        <v>470</v>
      </c>
      <c r="C131" s="111">
        <v>100000000</v>
      </c>
      <c r="D131" s="395">
        <f>'9.1.1. sz. mell. '!C131+'9.1.2. sz. mell.'!C131</f>
        <v>100000000</v>
      </c>
      <c r="E131" s="397">
        <f t="shared" si="4"/>
        <v>0</v>
      </c>
      <c r="F131" s="394">
        <f t="shared" si="3"/>
        <v>0</v>
      </c>
    </row>
    <row r="132" spans="1:9" ht="12" customHeight="1" thickBot="1" x14ac:dyDescent="0.25">
      <c r="A132" s="223" t="s">
        <v>204</v>
      </c>
      <c r="B132" s="5" t="s">
        <v>513</v>
      </c>
      <c r="C132" s="111"/>
      <c r="D132" s="395">
        <f>'9.1.1. sz. mell. '!C132+'9.1.2. sz. mell.'!C132</f>
        <v>0</v>
      </c>
      <c r="E132" s="398">
        <f t="shared" si="4"/>
        <v>0</v>
      </c>
      <c r="F132" s="394">
        <f t="shared" si="3"/>
        <v>0</v>
      </c>
    </row>
    <row r="133" spans="1:9" ht="12" customHeight="1" thickBot="1" x14ac:dyDescent="0.25">
      <c r="A133" s="28" t="s">
        <v>23</v>
      </c>
      <c r="B133" s="67" t="s">
        <v>472</v>
      </c>
      <c r="C133" s="281">
        <f>+C134+C135+C136+C137+C138+C139</f>
        <v>0</v>
      </c>
      <c r="D133" s="395">
        <f>'9.1.1. sz. mell. '!C133+'9.1.2. sz. mell.'!C133</f>
        <v>0</v>
      </c>
      <c r="E133" s="395">
        <f t="shared" si="4"/>
        <v>0</v>
      </c>
      <c r="F133" s="394">
        <f t="shared" si="3"/>
        <v>0</v>
      </c>
    </row>
    <row r="134" spans="1:9" ht="12" customHeight="1" thickBot="1" x14ac:dyDescent="0.25">
      <c r="A134" s="214" t="s">
        <v>88</v>
      </c>
      <c r="B134" s="7" t="s">
        <v>473</v>
      </c>
      <c r="C134" s="111"/>
      <c r="D134" s="395">
        <f>'9.1.1. sz. mell. '!C134+'9.1.2. sz. mell.'!C134</f>
        <v>0</v>
      </c>
      <c r="E134" s="396">
        <f t="shared" si="4"/>
        <v>0</v>
      </c>
      <c r="F134" s="394">
        <f t="shared" si="3"/>
        <v>0</v>
      </c>
    </row>
    <row r="135" spans="1:9" ht="12" customHeight="1" thickBot="1" x14ac:dyDescent="0.25">
      <c r="A135" s="214" t="s">
        <v>89</v>
      </c>
      <c r="B135" s="7" t="s">
        <v>474</v>
      </c>
      <c r="C135" s="111"/>
      <c r="D135" s="395">
        <f>'9.1.1. sz. mell. '!C135+'9.1.2. sz. mell.'!C135</f>
        <v>0</v>
      </c>
      <c r="E135" s="397">
        <f t="shared" si="4"/>
        <v>0</v>
      </c>
      <c r="F135" s="394">
        <f t="shared" si="3"/>
        <v>0</v>
      </c>
    </row>
    <row r="136" spans="1:9" ht="12" customHeight="1" thickBot="1" x14ac:dyDescent="0.25">
      <c r="A136" s="214" t="s">
        <v>90</v>
      </c>
      <c r="B136" s="7" t="s">
        <v>475</v>
      </c>
      <c r="C136" s="111"/>
      <c r="D136" s="395">
        <f>'9.1.1. sz. mell. '!C136+'9.1.2. sz. mell.'!C136</f>
        <v>0</v>
      </c>
      <c r="E136" s="397">
        <f t="shared" si="4"/>
        <v>0</v>
      </c>
      <c r="F136" s="394">
        <f t="shared" si="3"/>
        <v>0</v>
      </c>
    </row>
    <row r="137" spans="1:9" ht="12" customHeight="1" thickBot="1" x14ac:dyDescent="0.25">
      <c r="A137" s="214" t="s">
        <v>136</v>
      </c>
      <c r="B137" s="7" t="s">
        <v>514</v>
      </c>
      <c r="C137" s="111"/>
      <c r="D137" s="395">
        <f>'9.1.1. sz. mell. '!C137+'9.1.2. sz. mell.'!C137</f>
        <v>0</v>
      </c>
      <c r="E137" s="397">
        <f t="shared" si="4"/>
        <v>0</v>
      </c>
      <c r="F137" s="394">
        <f t="shared" ref="F137:F156" si="5">C137-D137</f>
        <v>0</v>
      </c>
    </row>
    <row r="138" spans="1:9" ht="12" customHeight="1" thickBot="1" x14ac:dyDescent="0.25">
      <c r="A138" s="214" t="s">
        <v>137</v>
      </c>
      <c r="B138" s="7" t="s">
        <v>477</v>
      </c>
      <c r="C138" s="111"/>
      <c r="D138" s="395">
        <f>'9.1.1. sz. mell. '!C138+'9.1.2. sz. mell.'!C138</f>
        <v>0</v>
      </c>
      <c r="E138" s="397">
        <f t="shared" si="4"/>
        <v>0</v>
      </c>
      <c r="F138" s="394">
        <f t="shared" si="5"/>
        <v>0</v>
      </c>
    </row>
    <row r="139" spans="1:9" s="51" customFormat="1" ht="12" customHeight="1" thickBot="1" x14ac:dyDescent="0.25">
      <c r="A139" s="223" t="s">
        <v>138</v>
      </c>
      <c r="B139" s="5" t="s">
        <v>478</v>
      </c>
      <c r="C139" s="111"/>
      <c r="D139" s="395">
        <f>'9.1.1. sz. mell. '!C139+'9.1.2. sz. mell.'!C139</f>
        <v>0</v>
      </c>
      <c r="E139" s="398">
        <f t="shared" si="4"/>
        <v>0</v>
      </c>
      <c r="F139" s="394">
        <f t="shared" si="5"/>
        <v>0</v>
      </c>
    </row>
    <row r="140" spans="1:9" ht="12" customHeight="1" thickBot="1" x14ac:dyDescent="0.25">
      <c r="A140" s="28" t="s">
        <v>24</v>
      </c>
      <c r="B140" s="67" t="s">
        <v>515</v>
      </c>
      <c r="C140" s="284">
        <f>+C141+C142+C143+C144</f>
        <v>41904332</v>
      </c>
      <c r="D140" s="395">
        <f>'9.1.1. sz. mell. '!C140+'9.1.2. sz. mell.'!C140</f>
        <v>41904332</v>
      </c>
      <c r="E140" s="395">
        <f t="shared" si="4"/>
        <v>0</v>
      </c>
      <c r="F140" s="394">
        <f t="shared" si="5"/>
        <v>0</v>
      </c>
      <c r="I140" s="110"/>
    </row>
    <row r="141" spans="1:9" ht="13.5" thickBot="1" x14ac:dyDescent="0.25">
      <c r="A141" s="214" t="s">
        <v>91</v>
      </c>
      <c r="B141" s="7" t="s">
        <v>309</v>
      </c>
      <c r="C141" s="111"/>
      <c r="D141" s="395">
        <f>'9.1.1. sz. mell. '!C141+'9.1.2. sz. mell.'!C141</f>
        <v>0</v>
      </c>
      <c r="E141" s="396">
        <f t="shared" si="4"/>
        <v>0</v>
      </c>
      <c r="F141" s="394">
        <f t="shared" si="5"/>
        <v>0</v>
      </c>
    </row>
    <row r="142" spans="1:9" ht="12" customHeight="1" thickBot="1" x14ac:dyDescent="0.25">
      <c r="A142" s="214" t="s">
        <v>92</v>
      </c>
      <c r="B142" s="7" t="s">
        <v>310</v>
      </c>
      <c r="C142" s="111">
        <f>41904332</f>
        <v>41904332</v>
      </c>
      <c r="D142" s="395">
        <f>'9.1.1. sz. mell. '!C142+'9.1.2. sz. mell.'!C142</f>
        <v>41904332</v>
      </c>
      <c r="E142" s="397">
        <f t="shared" si="4"/>
        <v>0</v>
      </c>
      <c r="F142" s="394">
        <f t="shared" si="5"/>
        <v>0</v>
      </c>
    </row>
    <row r="143" spans="1:9" s="51" customFormat="1" ht="12" customHeight="1" thickBot="1" x14ac:dyDescent="0.25">
      <c r="A143" s="214" t="s">
        <v>223</v>
      </c>
      <c r="B143" s="7" t="s">
        <v>480</v>
      </c>
      <c r="C143" s="111"/>
      <c r="D143" s="395">
        <f>'9.1.1. sz. mell. '!C143+'9.1.2. sz. mell.'!C143</f>
        <v>0</v>
      </c>
      <c r="E143" s="397">
        <f t="shared" si="4"/>
        <v>0</v>
      </c>
      <c r="F143" s="394">
        <f t="shared" si="5"/>
        <v>0</v>
      </c>
    </row>
    <row r="144" spans="1:9" s="51" customFormat="1" ht="12" customHeight="1" thickBot="1" x14ac:dyDescent="0.25">
      <c r="A144" s="223" t="s">
        <v>224</v>
      </c>
      <c r="B144" s="5" t="s">
        <v>328</v>
      </c>
      <c r="C144" s="111"/>
      <c r="D144" s="395">
        <f>'9.1.1. sz. mell. '!C144+'9.1.2. sz. mell.'!C144</f>
        <v>0</v>
      </c>
      <c r="E144" s="398">
        <f t="shared" si="4"/>
        <v>0</v>
      </c>
      <c r="F144" s="394">
        <f t="shared" si="5"/>
        <v>0</v>
      </c>
    </row>
    <row r="145" spans="1:6" s="51" customFormat="1" ht="12" customHeight="1" thickBot="1" x14ac:dyDescent="0.25">
      <c r="A145" s="28" t="s">
        <v>25</v>
      </c>
      <c r="B145" s="67" t="s">
        <v>481</v>
      </c>
      <c r="C145" s="291">
        <f>+C146+C147+C148+C149+C150</f>
        <v>0</v>
      </c>
      <c r="D145" s="395">
        <f>'9.1.1. sz. mell. '!C145+'9.1.2. sz. mell.'!C145</f>
        <v>0</v>
      </c>
      <c r="E145" s="395">
        <f t="shared" si="4"/>
        <v>0</v>
      </c>
      <c r="F145" s="394">
        <f t="shared" si="5"/>
        <v>0</v>
      </c>
    </row>
    <row r="146" spans="1:6" s="51" customFormat="1" ht="12" customHeight="1" thickBot="1" x14ac:dyDescent="0.25">
      <c r="A146" s="214" t="s">
        <v>93</v>
      </c>
      <c r="B146" s="7" t="s">
        <v>482</v>
      </c>
      <c r="C146" s="111"/>
      <c r="D146" s="395">
        <f>'9.1.1. sz. mell. '!C146+'9.1.2. sz. mell.'!C146</f>
        <v>0</v>
      </c>
      <c r="E146" s="396">
        <f t="shared" si="4"/>
        <v>0</v>
      </c>
      <c r="F146" s="394">
        <f t="shared" si="5"/>
        <v>0</v>
      </c>
    </row>
    <row r="147" spans="1:6" s="51" customFormat="1" ht="12" customHeight="1" thickBot="1" x14ac:dyDescent="0.25">
      <c r="A147" s="214" t="s">
        <v>94</v>
      </c>
      <c r="B147" s="7" t="s">
        <v>483</v>
      </c>
      <c r="C147" s="111"/>
      <c r="D147" s="395">
        <f>'9.1.1. sz. mell. '!C147+'9.1.2. sz. mell.'!C147</f>
        <v>0</v>
      </c>
      <c r="E147" s="397">
        <f t="shared" si="4"/>
        <v>0</v>
      </c>
      <c r="F147" s="394">
        <f t="shared" si="5"/>
        <v>0</v>
      </c>
    </row>
    <row r="148" spans="1:6" s="51" customFormat="1" ht="12" customHeight="1" thickBot="1" x14ac:dyDescent="0.25">
      <c r="A148" s="214" t="s">
        <v>235</v>
      </c>
      <c r="B148" s="7" t="s">
        <v>484</v>
      </c>
      <c r="C148" s="111"/>
      <c r="D148" s="395">
        <f>'9.1.1. sz. mell. '!C148+'9.1.2. sz. mell.'!C148</f>
        <v>0</v>
      </c>
      <c r="E148" s="397">
        <f t="shared" si="4"/>
        <v>0</v>
      </c>
      <c r="F148" s="394">
        <f t="shared" si="5"/>
        <v>0</v>
      </c>
    </row>
    <row r="149" spans="1:6" s="51" customFormat="1" ht="12" customHeight="1" thickBot="1" x14ac:dyDescent="0.25">
      <c r="A149" s="214" t="s">
        <v>236</v>
      </c>
      <c r="B149" s="7" t="s">
        <v>516</v>
      </c>
      <c r="C149" s="111"/>
      <c r="D149" s="395">
        <f>'9.1.1. sz. mell. '!C149+'9.1.2. sz. mell.'!C149</f>
        <v>0</v>
      </c>
      <c r="E149" s="397">
        <f t="shared" si="4"/>
        <v>0</v>
      </c>
      <c r="F149" s="394">
        <f t="shared" si="5"/>
        <v>0</v>
      </c>
    </row>
    <row r="150" spans="1:6" ht="12.75" customHeight="1" thickBot="1" x14ac:dyDescent="0.25">
      <c r="A150" s="223" t="s">
        <v>486</v>
      </c>
      <c r="B150" s="5" t="s">
        <v>487</v>
      </c>
      <c r="C150" s="112"/>
      <c r="D150" s="395">
        <f>'9.1.1. sz. mell. '!C150+'9.1.2. sz. mell.'!C150</f>
        <v>0</v>
      </c>
      <c r="E150" s="398">
        <f t="shared" si="4"/>
        <v>0</v>
      </c>
      <c r="F150" s="394">
        <f t="shared" si="5"/>
        <v>0</v>
      </c>
    </row>
    <row r="151" spans="1:6" ht="12.75" customHeight="1" thickBot="1" x14ac:dyDescent="0.25">
      <c r="A151" s="261" t="s">
        <v>26</v>
      </c>
      <c r="B151" s="67" t="s">
        <v>488</v>
      </c>
      <c r="C151" s="291"/>
      <c r="D151" s="395">
        <f>'9.1.1. sz. mell. '!C151+'9.1.2. sz. mell.'!C151</f>
        <v>0</v>
      </c>
      <c r="E151" s="395">
        <f t="shared" si="4"/>
        <v>0</v>
      </c>
      <c r="F151" s="394">
        <f t="shared" si="5"/>
        <v>0</v>
      </c>
    </row>
    <row r="152" spans="1:6" ht="12.75" customHeight="1" thickBot="1" x14ac:dyDescent="0.25">
      <c r="A152" s="261" t="s">
        <v>27</v>
      </c>
      <c r="B152" s="67" t="s">
        <v>489</v>
      </c>
      <c r="C152" s="291"/>
      <c r="D152" s="395">
        <f>'9.1.1. sz. mell. '!C152+'9.1.2. sz. mell.'!C152</f>
        <v>0</v>
      </c>
      <c r="E152" s="399">
        <f t="shared" si="4"/>
        <v>0</v>
      </c>
      <c r="F152" s="394">
        <f t="shared" si="5"/>
        <v>0</v>
      </c>
    </row>
    <row r="153" spans="1:6" ht="12" customHeight="1" thickBot="1" x14ac:dyDescent="0.25">
      <c r="A153" s="28" t="s">
        <v>28</v>
      </c>
      <c r="B153" s="67" t="s">
        <v>490</v>
      </c>
      <c r="C153" s="292">
        <f>+C129+C133+C140+C145+C151+C152</f>
        <v>158856832</v>
      </c>
      <c r="D153" s="395">
        <f>'9.1.1. sz. mell. '!C153+'9.1.2. sz. mell.'!C153</f>
        <v>158856832</v>
      </c>
      <c r="E153" s="395">
        <f t="shared" si="4"/>
        <v>0</v>
      </c>
      <c r="F153" s="394">
        <f t="shared" si="5"/>
        <v>0</v>
      </c>
    </row>
    <row r="154" spans="1:6" ht="15" customHeight="1" thickBot="1" x14ac:dyDescent="0.25">
      <c r="A154" s="225" t="s">
        <v>29</v>
      </c>
      <c r="B154" s="185" t="s">
        <v>491</v>
      </c>
      <c r="C154" s="292">
        <f>+C128+C153</f>
        <v>2343398606</v>
      </c>
      <c r="D154" s="395">
        <f>'9.1.1. sz. mell. '!C154+'9.1.2. sz. mell.'!C154</f>
        <v>2343398606</v>
      </c>
      <c r="E154" s="395">
        <f t="shared" si="4"/>
        <v>0</v>
      </c>
      <c r="F154" s="394">
        <f t="shared" si="5"/>
        <v>0</v>
      </c>
    </row>
    <row r="155" spans="1:6" ht="13.5" thickBot="1" x14ac:dyDescent="0.25">
      <c r="D155" s="395">
        <f>'9.1.1. sz. mell. '!C155+'9.1.2. sz. mell.'!C155</f>
        <v>0</v>
      </c>
      <c r="E155" s="395">
        <f t="shared" si="4"/>
        <v>0</v>
      </c>
      <c r="F155" s="394">
        <f t="shared" si="5"/>
        <v>0</v>
      </c>
    </row>
    <row r="156" spans="1:6" ht="15" customHeight="1" thickBot="1" x14ac:dyDescent="0.25">
      <c r="A156" s="107" t="s">
        <v>517</v>
      </c>
      <c r="B156" s="108"/>
      <c r="C156" s="577">
        <f>5+0.92+1.44</f>
        <v>7.3599999999999994</v>
      </c>
      <c r="D156" s="875">
        <f>'9.1.1. sz. mell. '!C156+'9.1.2. sz. mell.'!C156</f>
        <v>7.3599999999999994</v>
      </c>
      <c r="E156" s="395">
        <f t="shared" si="4"/>
        <v>0</v>
      </c>
      <c r="F156" s="394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4/2020.(II.28.)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view="pageLayout" zoomScaleNormal="115" zoomScaleSheetLayoutView="85" workbookViewId="0">
      <selection activeCell="C97" sqref="C97"/>
    </sheetView>
  </sheetViews>
  <sheetFormatPr defaultRowHeight="12.75" x14ac:dyDescent="0.2"/>
  <cols>
    <col min="1" max="1" width="19.5" style="400" customWidth="1"/>
    <col min="2" max="2" width="72" style="401" customWidth="1"/>
    <col min="3" max="3" width="25" style="402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84"/>
      <c r="B1" s="86"/>
      <c r="C1" s="109"/>
    </row>
    <row r="2" spans="1:3" s="47" customFormat="1" ht="21" customHeight="1" x14ac:dyDescent="0.2">
      <c r="A2" s="190" t="s">
        <v>63</v>
      </c>
      <c r="B2" s="167" t="s">
        <v>160</v>
      </c>
      <c r="C2" s="169" t="s">
        <v>54</v>
      </c>
    </row>
    <row r="3" spans="1:3" s="47" customFormat="1" ht="16.5" thickBot="1" x14ac:dyDescent="0.25">
      <c r="A3" s="87" t="s">
        <v>157</v>
      </c>
      <c r="B3" s="168" t="s">
        <v>366</v>
      </c>
      <c r="C3" s="260" t="s">
        <v>61</v>
      </c>
    </row>
    <row r="4" spans="1:3" s="48" customFormat="1" ht="15.95" customHeight="1" thickBot="1" x14ac:dyDescent="0.3">
      <c r="A4" s="88"/>
      <c r="B4" s="88"/>
      <c r="C4" s="89" t="s">
        <v>553</v>
      </c>
    </row>
    <row r="5" spans="1:3" ht="13.5" thickBot="1" x14ac:dyDescent="0.25">
      <c r="A5" s="191" t="s">
        <v>159</v>
      </c>
      <c r="B5" s="90" t="s">
        <v>55</v>
      </c>
      <c r="C5" s="170" t="s">
        <v>56</v>
      </c>
    </row>
    <row r="6" spans="1:3" s="40" customFormat="1" ht="12.95" customHeight="1" thickBot="1" x14ac:dyDescent="0.25">
      <c r="A6" s="77" t="s">
        <v>443</v>
      </c>
      <c r="B6" s="78" t="s">
        <v>444</v>
      </c>
      <c r="C6" s="79" t="s">
        <v>445</v>
      </c>
    </row>
    <row r="7" spans="1:3" s="40" customFormat="1" ht="15.95" customHeight="1" thickBot="1" x14ac:dyDescent="0.25">
      <c r="A7" s="92"/>
      <c r="B7" s="93" t="s">
        <v>57</v>
      </c>
      <c r="C7" s="171"/>
    </row>
    <row r="8" spans="1:3" s="40" customFormat="1" ht="12" customHeight="1" thickBot="1" x14ac:dyDescent="0.25">
      <c r="A8" s="28" t="s">
        <v>19</v>
      </c>
      <c r="B8" s="19" t="s">
        <v>184</v>
      </c>
      <c r="C8" s="281">
        <f>+C9+C10+C11+C12+C13+C14</f>
        <v>1058123547</v>
      </c>
    </row>
    <row r="9" spans="1:3" s="49" customFormat="1" ht="12" customHeight="1" x14ac:dyDescent="0.2">
      <c r="A9" s="214" t="s">
        <v>95</v>
      </c>
      <c r="B9" s="200" t="s">
        <v>185</v>
      </c>
      <c r="C9" s="891">
        <f>211161846+4226000+4709893-1999597</f>
        <v>218098142</v>
      </c>
    </row>
    <row r="10" spans="1:3" s="50" customFormat="1" ht="12" customHeight="1" x14ac:dyDescent="0.2">
      <c r="A10" s="215" t="s">
        <v>96</v>
      </c>
      <c r="B10" s="201" t="s">
        <v>186</v>
      </c>
      <c r="C10" s="1019">
        <f>235351616+4095000+670926-1651131</f>
        <v>238466411</v>
      </c>
    </row>
    <row r="11" spans="1:3" s="50" customFormat="1" ht="12" customHeight="1" x14ac:dyDescent="0.2">
      <c r="A11" s="215" t="s">
        <v>97</v>
      </c>
      <c r="B11" s="201" t="s">
        <v>187</v>
      </c>
      <c r="C11" s="1019">
        <f>132342947+82528441+191583306+50232560+61299400+1796961+13607000-1357436-13551244</f>
        <v>518481935</v>
      </c>
    </row>
    <row r="12" spans="1:3" s="50" customFormat="1" ht="12" customHeight="1" x14ac:dyDescent="0.2">
      <c r="A12" s="215" t="s">
        <v>98</v>
      </c>
      <c r="B12" s="201" t="s">
        <v>188</v>
      </c>
      <c r="C12" s="1019">
        <f>4617241+15998620+12622000+1404000+542000-430288</f>
        <v>34753573</v>
      </c>
    </row>
    <row r="13" spans="1:3" s="50" customFormat="1" ht="12" customHeight="1" x14ac:dyDescent="0.2">
      <c r="A13" s="215" t="s">
        <v>121</v>
      </c>
      <c r="B13" s="201" t="s">
        <v>504</v>
      </c>
      <c r="C13" s="1019">
        <f>234730936-2600335-5000000+9625137-53811000-4359893-130261359</f>
        <v>48323486</v>
      </c>
    </row>
    <row r="14" spans="1:3" s="49" customFormat="1" ht="12" customHeight="1" thickBot="1" x14ac:dyDescent="0.25">
      <c r="A14" s="216" t="s">
        <v>99</v>
      </c>
      <c r="B14" s="202" t="s">
        <v>447</v>
      </c>
      <c r="C14" s="111"/>
    </row>
    <row r="15" spans="1:3" s="49" customFormat="1" ht="12" customHeight="1" thickBot="1" x14ac:dyDescent="0.25">
      <c r="A15" s="28" t="s">
        <v>20</v>
      </c>
      <c r="B15" s="117" t="s">
        <v>189</v>
      </c>
      <c r="C15" s="281">
        <f>+C16+C17+C18+C19+C20</f>
        <v>161028861</v>
      </c>
    </row>
    <row r="16" spans="1:3" s="49" customFormat="1" ht="12" customHeight="1" x14ac:dyDescent="0.2">
      <c r="A16" s="214" t="s">
        <v>101</v>
      </c>
      <c r="B16" s="200" t="s">
        <v>190</v>
      </c>
      <c r="C16" s="283"/>
    </row>
    <row r="17" spans="1:3" s="49" customFormat="1" ht="12" customHeight="1" x14ac:dyDescent="0.2">
      <c r="A17" s="215" t="s">
        <v>102</v>
      </c>
      <c r="B17" s="201" t="s">
        <v>191</v>
      </c>
      <c r="C17" s="111"/>
    </row>
    <row r="18" spans="1:3" s="49" customFormat="1" ht="12" customHeight="1" x14ac:dyDescent="0.2">
      <c r="A18" s="215" t="s">
        <v>103</v>
      </c>
      <c r="B18" s="201" t="s">
        <v>359</v>
      </c>
      <c r="C18" s="111"/>
    </row>
    <row r="19" spans="1:3" s="49" customFormat="1" ht="12" customHeight="1" x14ac:dyDescent="0.2">
      <c r="A19" s="215" t="s">
        <v>104</v>
      </c>
      <c r="B19" s="201" t="s">
        <v>360</v>
      </c>
      <c r="C19" s="111"/>
    </row>
    <row r="20" spans="1:3" s="49" customFormat="1" ht="12" customHeight="1" x14ac:dyDescent="0.2">
      <c r="A20" s="215" t="s">
        <v>105</v>
      </c>
      <c r="B20" s="201" t="s">
        <v>192</v>
      </c>
      <c r="C20" s="1004">
        <f>24250000+5670000+67037993+2125000+2984246+66123322+17088300-24250000</f>
        <v>161028861</v>
      </c>
    </row>
    <row r="21" spans="1:3" s="50" customFormat="1" ht="12" customHeight="1" thickBot="1" x14ac:dyDescent="0.25">
      <c r="A21" s="216" t="s">
        <v>114</v>
      </c>
      <c r="B21" s="202" t="s">
        <v>193</v>
      </c>
      <c r="C21" s="1005">
        <f>67037993+2125000+66123322+15905400</f>
        <v>151191715</v>
      </c>
    </row>
    <row r="22" spans="1:3" s="50" customFormat="1" ht="12" customHeight="1" thickBot="1" x14ac:dyDescent="0.25">
      <c r="A22" s="28" t="s">
        <v>21</v>
      </c>
      <c r="B22" s="19" t="s">
        <v>194</v>
      </c>
      <c r="C22" s="281">
        <f>+C23+C24+C25+C26+C27</f>
        <v>1063944950</v>
      </c>
    </row>
    <row r="23" spans="1:3" s="50" customFormat="1" ht="12" customHeight="1" x14ac:dyDescent="0.2">
      <c r="A23" s="214" t="s">
        <v>84</v>
      </c>
      <c r="B23" s="200" t="s">
        <v>195</v>
      </c>
      <c r="C23" s="891">
        <f>369999900+139000</f>
        <v>370138900</v>
      </c>
    </row>
    <row r="24" spans="1:3" s="49" customFormat="1" ht="12" customHeight="1" x14ac:dyDescent="0.2">
      <c r="A24" s="215" t="s">
        <v>85</v>
      </c>
      <c r="B24" s="201" t="s">
        <v>196</v>
      </c>
      <c r="C24" s="265"/>
    </row>
    <row r="25" spans="1:3" s="50" customFormat="1" ht="12" customHeight="1" x14ac:dyDescent="0.2">
      <c r="A25" s="215" t="s">
        <v>86</v>
      </c>
      <c r="B25" s="201" t="s">
        <v>361</v>
      </c>
      <c r="C25" s="265"/>
    </row>
    <row r="26" spans="1:3" s="50" customFormat="1" ht="12" customHeight="1" x14ac:dyDescent="0.2">
      <c r="A26" s="215" t="s">
        <v>87</v>
      </c>
      <c r="B26" s="201" t="s">
        <v>362</v>
      </c>
      <c r="C26" s="265"/>
    </row>
    <row r="27" spans="1:3" s="50" customFormat="1" ht="12" customHeight="1" x14ac:dyDescent="0.2">
      <c r="A27" s="215" t="s">
        <v>132</v>
      </c>
      <c r="B27" s="201" t="s">
        <v>197</v>
      </c>
      <c r="C27" s="1004">
        <f>5596040+25377271+3487179+47949076+82875000+370160338+158361146</f>
        <v>693806050</v>
      </c>
    </row>
    <row r="28" spans="1:3" s="50" customFormat="1" ht="12" customHeight="1" thickBot="1" x14ac:dyDescent="0.25">
      <c r="A28" s="216" t="s">
        <v>133</v>
      </c>
      <c r="B28" s="202" t="s">
        <v>198</v>
      </c>
      <c r="C28" s="1005">
        <f>30973311+3487179+47949076+82875000+370160338+157669246</f>
        <v>693114150</v>
      </c>
    </row>
    <row r="29" spans="1:3" s="50" customFormat="1" ht="12" customHeight="1" thickBot="1" x14ac:dyDescent="0.25">
      <c r="A29" s="28" t="s">
        <v>134</v>
      </c>
      <c r="B29" s="19" t="s">
        <v>620</v>
      </c>
      <c r="C29" s="284">
        <f>+C30+C34+C35+C36</f>
        <v>482500000</v>
      </c>
    </row>
    <row r="30" spans="1:3" s="50" customFormat="1" ht="12" customHeight="1" x14ac:dyDescent="0.2">
      <c r="A30" s="214" t="s">
        <v>200</v>
      </c>
      <c r="B30" s="200" t="s">
        <v>602</v>
      </c>
      <c r="C30" s="299">
        <f>SUM(C31:C32)</f>
        <v>430000000</v>
      </c>
    </row>
    <row r="31" spans="1:3" s="50" customFormat="1" ht="12" customHeight="1" x14ac:dyDescent="0.2">
      <c r="A31" s="215" t="s">
        <v>201</v>
      </c>
      <c r="B31" s="201" t="s">
        <v>206</v>
      </c>
      <c r="C31" s="111">
        <f>80000000+9000000</f>
        <v>89000000</v>
      </c>
    </row>
    <row r="32" spans="1:3" s="50" customFormat="1" ht="12" customHeight="1" x14ac:dyDescent="0.2">
      <c r="A32" s="215" t="s">
        <v>202</v>
      </c>
      <c r="B32" s="248" t="s">
        <v>601</v>
      </c>
      <c r="C32" s="111">
        <f>341000000</f>
        <v>341000000</v>
      </c>
    </row>
    <row r="33" spans="1:3" s="50" customFormat="1" ht="12" customHeight="1" x14ac:dyDescent="0.2">
      <c r="A33" s="215" t="s">
        <v>203</v>
      </c>
      <c r="B33" s="201" t="s">
        <v>534</v>
      </c>
      <c r="C33" s="265"/>
    </row>
    <row r="34" spans="1:3" s="50" customFormat="1" ht="12" customHeight="1" x14ac:dyDescent="0.2">
      <c r="A34" s="215" t="s">
        <v>535</v>
      </c>
      <c r="B34" s="201" t="s">
        <v>207</v>
      </c>
      <c r="C34" s="111">
        <f>35000000</f>
        <v>35000000</v>
      </c>
    </row>
    <row r="35" spans="1:3" s="50" customFormat="1" ht="12" customHeight="1" x14ac:dyDescent="0.2">
      <c r="A35" s="215" t="s">
        <v>205</v>
      </c>
      <c r="B35" s="201" t="s">
        <v>208</v>
      </c>
      <c r="C35" s="265">
        <f>1000000</f>
        <v>1000000</v>
      </c>
    </row>
    <row r="36" spans="1:3" s="50" customFormat="1" ht="12" customHeight="1" thickBot="1" x14ac:dyDescent="0.25">
      <c r="A36" s="216" t="s">
        <v>536</v>
      </c>
      <c r="B36" s="202" t="s">
        <v>209</v>
      </c>
      <c r="C36" s="269">
        <f>6000000+4500000+2500000+3500000</f>
        <v>16500000</v>
      </c>
    </row>
    <row r="37" spans="1:3" s="50" customFormat="1" ht="12" customHeight="1" thickBot="1" x14ac:dyDescent="0.25">
      <c r="A37" s="28" t="s">
        <v>23</v>
      </c>
      <c r="B37" s="19" t="s">
        <v>448</v>
      </c>
      <c r="C37" s="281">
        <f>SUM(C38:C48)</f>
        <v>67433728</v>
      </c>
    </row>
    <row r="38" spans="1:3" s="50" customFormat="1" ht="12" customHeight="1" x14ac:dyDescent="0.2">
      <c r="A38" s="214" t="s">
        <v>88</v>
      </c>
      <c r="B38" s="200" t="s">
        <v>212</v>
      </c>
      <c r="C38" s="285">
        <f>7385026+10000</f>
        <v>7395026</v>
      </c>
    </row>
    <row r="39" spans="1:3" s="50" customFormat="1" ht="12" customHeight="1" x14ac:dyDescent="0.2">
      <c r="A39" s="215" t="s">
        <v>89</v>
      </c>
      <c r="B39" s="201" t="s">
        <v>213</v>
      </c>
      <c r="C39" s="265">
        <f>15901900</f>
        <v>15901900</v>
      </c>
    </row>
    <row r="40" spans="1:3" s="50" customFormat="1" ht="12" customHeight="1" x14ac:dyDescent="0.2">
      <c r="A40" s="215" t="s">
        <v>90</v>
      </c>
      <c r="B40" s="201" t="s">
        <v>214</v>
      </c>
      <c r="C40" s="265">
        <f>20000+6000000+700000+1000000+1109692+340000</f>
        <v>9169692</v>
      </c>
    </row>
    <row r="41" spans="1:3" s="50" customFormat="1" ht="12" customHeight="1" x14ac:dyDescent="0.2">
      <c r="A41" s="215" t="s">
        <v>136</v>
      </c>
      <c r="B41" s="201" t="s">
        <v>215</v>
      </c>
      <c r="C41" s="1004">
        <f>440000+300000+144667-144667</f>
        <v>740000</v>
      </c>
    </row>
    <row r="42" spans="1:3" s="50" customFormat="1" ht="12" customHeight="1" x14ac:dyDescent="0.2">
      <c r="A42" s="215" t="s">
        <v>137</v>
      </c>
      <c r="B42" s="201" t="s">
        <v>216</v>
      </c>
      <c r="C42" s="265"/>
    </row>
    <row r="43" spans="1:3" s="50" customFormat="1" ht="12" customHeight="1" x14ac:dyDescent="0.2">
      <c r="A43" s="215" t="s">
        <v>138</v>
      </c>
      <c r="B43" s="201" t="s">
        <v>217</v>
      </c>
      <c r="C43" s="265">
        <f>5400+1993957+12052638+189000+333450</f>
        <v>14574445</v>
      </c>
    </row>
    <row r="44" spans="1:3" s="50" customFormat="1" ht="12" customHeight="1" x14ac:dyDescent="0.2">
      <c r="A44" s="215" t="s">
        <v>139</v>
      </c>
      <c r="B44" s="201" t="s">
        <v>218</v>
      </c>
      <c r="C44" s="265"/>
    </row>
    <row r="45" spans="1:3" s="50" customFormat="1" ht="12" customHeight="1" x14ac:dyDescent="0.2">
      <c r="A45" s="215" t="s">
        <v>140</v>
      </c>
      <c r="B45" s="201" t="s">
        <v>219</v>
      </c>
      <c r="C45" s="265"/>
    </row>
    <row r="46" spans="1:3" s="50" customFormat="1" ht="12" customHeight="1" x14ac:dyDescent="0.2">
      <c r="A46" s="215" t="s">
        <v>210</v>
      </c>
      <c r="B46" s="201" t="s">
        <v>220</v>
      </c>
      <c r="C46" s="265"/>
    </row>
    <row r="47" spans="1:3" s="50" customFormat="1" ht="12" customHeight="1" x14ac:dyDescent="0.2">
      <c r="A47" s="216" t="s">
        <v>211</v>
      </c>
      <c r="B47" s="202" t="s">
        <v>449</v>
      </c>
      <c r="C47" s="269">
        <f>500000</f>
        <v>500000</v>
      </c>
    </row>
    <row r="48" spans="1:3" s="50" customFormat="1" ht="12" customHeight="1" thickBot="1" x14ac:dyDescent="0.25">
      <c r="A48" s="216" t="s">
        <v>450</v>
      </c>
      <c r="B48" s="202" t="s">
        <v>221</v>
      </c>
      <c r="C48" s="1005">
        <f>507601+700000+2935064+10000+15000000</f>
        <v>19152665</v>
      </c>
    </row>
    <row r="49" spans="1:3" s="50" customFormat="1" ht="12" customHeight="1" thickBot="1" x14ac:dyDescent="0.25">
      <c r="A49" s="28" t="s">
        <v>24</v>
      </c>
      <c r="B49" s="19" t="s">
        <v>222</v>
      </c>
      <c r="C49" s="281">
        <f>SUM(C50:C54)</f>
        <v>21932600</v>
      </c>
    </row>
    <row r="50" spans="1:3" s="50" customFormat="1" ht="12" customHeight="1" x14ac:dyDescent="0.2">
      <c r="A50" s="214" t="s">
        <v>91</v>
      </c>
      <c r="B50" s="200" t="s">
        <v>226</v>
      </c>
      <c r="C50" s="285"/>
    </row>
    <row r="51" spans="1:3" s="50" customFormat="1" ht="12" customHeight="1" x14ac:dyDescent="0.2">
      <c r="A51" s="215" t="s">
        <v>92</v>
      </c>
      <c r="B51" s="201" t="s">
        <v>227</v>
      </c>
      <c r="C51" s="265">
        <f>21787500</f>
        <v>21787500</v>
      </c>
    </row>
    <row r="52" spans="1:3" s="50" customFormat="1" ht="12" customHeight="1" x14ac:dyDescent="0.2">
      <c r="A52" s="215" t="s">
        <v>223</v>
      </c>
      <c r="B52" s="201" t="s">
        <v>228</v>
      </c>
      <c r="C52" s="265"/>
    </row>
    <row r="53" spans="1:3" s="50" customFormat="1" ht="12" customHeight="1" x14ac:dyDescent="0.2">
      <c r="A53" s="215" t="s">
        <v>224</v>
      </c>
      <c r="B53" s="201" t="s">
        <v>229</v>
      </c>
      <c r="C53" s="265"/>
    </row>
    <row r="54" spans="1:3" s="50" customFormat="1" ht="12" customHeight="1" thickBot="1" x14ac:dyDescent="0.25">
      <c r="A54" s="216" t="s">
        <v>225</v>
      </c>
      <c r="B54" s="202" t="s">
        <v>230</v>
      </c>
      <c r="C54" s="1005">
        <f>145100</f>
        <v>145100</v>
      </c>
    </row>
    <row r="55" spans="1:3" s="50" customFormat="1" ht="12" customHeight="1" thickBot="1" x14ac:dyDescent="0.25">
      <c r="A55" s="28" t="s">
        <v>141</v>
      </c>
      <c r="B55" s="19" t="s">
        <v>231</v>
      </c>
      <c r="C55" s="281">
        <f>SUM(C56:C58)</f>
        <v>1350000</v>
      </c>
    </row>
    <row r="56" spans="1:3" s="50" customFormat="1" ht="12" customHeight="1" x14ac:dyDescent="0.2">
      <c r="A56" s="214" t="s">
        <v>93</v>
      </c>
      <c r="B56" s="200" t="s">
        <v>232</v>
      </c>
      <c r="C56" s="283"/>
    </row>
    <row r="57" spans="1:3" s="50" customFormat="1" ht="12" customHeight="1" x14ac:dyDescent="0.2">
      <c r="A57" s="215" t="s">
        <v>94</v>
      </c>
      <c r="B57" s="201" t="s">
        <v>363</v>
      </c>
      <c r="C57" s="265">
        <v>400000</v>
      </c>
    </row>
    <row r="58" spans="1:3" s="50" customFormat="1" ht="12" customHeight="1" x14ac:dyDescent="0.2">
      <c r="A58" s="215" t="s">
        <v>235</v>
      </c>
      <c r="B58" s="201" t="s">
        <v>233</v>
      </c>
      <c r="C58" s="265">
        <f>950000</f>
        <v>950000</v>
      </c>
    </row>
    <row r="59" spans="1:3" s="50" customFormat="1" ht="12" customHeight="1" thickBot="1" x14ac:dyDescent="0.25">
      <c r="A59" s="216" t="s">
        <v>236</v>
      </c>
      <c r="B59" s="202" t="s">
        <v>234</v>
      </c>
      <c r="C59" s="112"/>
    </row>
    <row r="60" spans="1:3" s="50" customFormat="1" ht="12" customHeight="1" thickBot="1" x14ac:dyDescent="0.25">
      <c r="A60" s="28" t="s">
        <v>26</v>
      </c>
      <c r="B60" s="117" t="s">
        <v>237</v>
      </c>
      <c r="C60" s="281">
        <f>SUM(C61:C63)</f>
        <v>0</v>
      </c>
    </row>
    <row r="61" spans="1:3" s="50" customFormat="1" ht="12" customHeight="1" x14ac:dyDescent="0.2">
      <c r="A61" s="214" t="s">
        <v>142</v>
      </c>
      <c r="B61" s="200" t="s">
        <v>239</v>
      </c>
      <c r="C61" s="265"/>
    </row>
    <row r="62" spans="1:3" s="50" customFormat="1" ht="12" customHeight="1" x14ac:dyDescent="0.2">
      <c r="A62" s="215" t="s">
        <v>143</v>
      </c>
      <c r="B62" s="201" t="s">
        <v>364</v>
      </c>
      <c r="C62" s="265"/>
    </row>
    <row r="63" spans="1:3" s="50" customFormat="1" ht="12" customHeight="1" x14ac:dyDescent="0.2">
      <c r="A63" s="215" t="s">
        <v>164</v>
      </c>
      <c r="B63" s="201" t="s">
        <v>240</v>
      </c>
      <c r="C63" s="265"/>
    </row>
    <row r="64" spans="1:3" s="50" customFormat="1" ht="12" customHeight="1" thickBot="1" x14ac:dyDescent="0.25">
      <c r="A64" s="216" t="s">
        <v>238</v>
      </c>
      <c r="B64" s="202" t="s">
        <v>241</v>
      </c>
      <c r="C64" s="265"/>
    </row>
    <row r="65" spans="1:3" s="50" customFormat="1" ht="12" customHeight="1" thickBot="1" x14ac:dyDescent="0.25">
      <c r="A65" s="28" t="s">
        <v>27</v>
      </c>
      <c r="B65" s="19" t="s">
        <v>242</v>
      </c>
      <c r="C65" s="284">
        <f>+C8+C15+C22+C29+C37+C49+C55+C60</f>
        <v>2856313686</v>
      </c>
    </row>
    <row r="66" spans="1:3" s="50" customFormat="1" ht="12" customHeight="1" thickBot="1" x14ac:dyDescent="0.2">
      <c r="A66" s="217" t="s">
        <v>332</v>
      </c>
      <c r="B66" s="117" t="s">
        <v>244</v>
      </c>
      <c r="C66" s="281">
        <f>SUM(C67:C69)</f>
        <v>169269106</v>
      </c>
    </row>
    <row r="67" spans="1:3" s="50" customFormat="1" ht="12" customHeight="1" x14ac:dyDescent="0.2">
      <c r="A67" s="214" t="s">
        <v>275</v>
      </c>
      <c r="B67" s="200" t="s">
        <v>245</v>
      </c>
      <c r="C67" s="265">
        <f>69269106</f>
        <v>69269106</v>
      </c>
    </row>
    <row r="68" spans="1:3" s="50" customFormat="1" ht="12" customHeight="1" x14ac:dyDescent="0.2">
      <c r="A68" s="215" t="s">
        <v>284</v>
      </c>
      <c r="B68" s="201" t="s">
        <v>246</v>
      </c>
      <c r="C68" s="265">
        <v>100000000</v>
      </c>
    </row>
    <row r="69" spans="1:3" s="50" customFormat="1" ht="12" customHeight="1" thickBot="1" x14ac:dyDescent="0.25">
      <c r="A69" s="216" t="s">
        <v>285</v>
      </c>
      <c r="B69" s="203" t="s">
        <v>247</v>
      </c>
      <c r="C69" s="265"/>
    </row>
    <row r="70" spans="1:3" s="50" customFormat="1" ht="12" customHeight="1" thickBot="1" x14ac:dyDescent="0.2">
      <c r="A70" s="217" t="s">
        <v>248</v>
      </c>
      <c r="B70" s="117" t="s">
        <v>249</v>
      </c>
      <c r="C70" s="281">
        <f>SUM(C71:C74)</f>
        <v>0</v>
      </c>
    </row>
    <row r="71" spans="1:3" s="50" customFormat="1" ht="12" customHeight="1" x14ac:dyDescent="0.2">
      <c r="A71" s="214" t="s">
        <v>122</v>
      </c>
      <c r="B71" s="200" t="s">
        <v>250</v>
      </c>
      <c r="C71" s="265"/>
    </row>
    <row r="72" spans="1:3" s="50" customFormat="1" ht="12" customHeight="1" x14ac:dyDescent="0.2">
      <c r="A72" s="215" t="s">
        <v>123</v>
      </c>
      <c r="B72" s="201" t="s">
        <v>251</v>
      </c>
      <c r="C72" s="265"/>
    </row>
    <row r="73" spans="1:3" s="50" customFormat="1" ht="12" customHeight="1" x14ac:dyDescent="0.2">
      <c r="A73" s="215" t="s">
        <v>276</v>
      </c>
      <c r="B73" s="201" t="s">
        <v>252</v>
      </c>
      <c r="C73" s="265"/>
    </row>
    <row r="74" spans="1:3" s="50" customFormat="1" ht="12" customHeight="1" thickBot="1" x14ac:dyDescent="0.25">
      <c r="A74" s="216" t="s">
        <v>277</v>
      </c>
      <c r="B74" s="202" t="s">
        <v>253</v>
      </c>
      <c r="C74" s="265"/>
    </row>
    <row r="75" spans="1:3" s="50" customFormat="1" ht="12" customHeight="1" thickBot="1" x14ac:dyDescent="0.2">
      <c r="A75" s="217" t="s">
        <v>254</v>
      </c>
      <c r="B75" s="117" t="s">
        <v>255</v>
      </c>
      <c r="C75" s="281">
        <f>SUM(C76:C77)</f>
        <v>349091822</v>
      </c>
    </row>
    <row r="76" spans="1:3" s="50" customFormat="1" ht="12" customHeight="1" x14ac:dyDescent="0.2">
      <c r="A76" s="214" t="s">
        <v>278</v>
      </c>
      <c r="B76" s="200" t="s">
        <v>256</v>
      </c>
      <c r="C76" s="265">
        <f>346583469+2508353</f>
        <v>349091822</v>
      </c>
    </row>
    <row r="77" spans="1:3" s="50" customFormat="1" ht="12" customHeight="1" thickBot="1" x14ac:dyDescent="0.25">
      <c r="A77" s="216" t="s">
        <v>279</v>
      </c>
      <c r="B77" s="202" t="s">
        <v>257</v>
      </c>
      <c r="C77" s="265"/>
    </row>
    <row r="78" spans="1:3" s="49" customFormat="1" ht="12" customHeight="1" thickBot="1" x14ac:dyDescent="0.2">
      <c r="A78" s="217" t="s">
        <v>258</v>
      </c>
      <c r="B78" s="117" t="s">
        <v>259</v>
      </c>
      <c r="C78" s="281">
        <f>SUM(C79:C81)</f>
        <v>45672254</v>
      </c>
    </row>
    <row r="79" spans="1:3" s="50" customFormat="1" ht="12" customHeight="1" x14ac:dyDescent="0.2">
      <c r="A79" s="214" t="s">
        <v>280</v>
      </c>
      <c r="B79" s="200" t="s">
        <v>260</v>
      </c>
      <c r="C79" s="1019">
        <v>45672254</v>
      </c>
    </row>
    <row r="80" spans="1:3" s="50" customFormat="1" ht="12" customHeight="1" x14ac:dyDescent="0.2">
      <c r="A80" s="215" t="s">
        <v>281</v>
      </c>
      <c r="B80" s="201" t="s">
        <v>261</v>
      </c>
      <c r="C80" s="265"/>
    </row>
    <row r="81" spans="1:6" s="50" customFormat="1" ht="12" customHeight="1" thickBot="1" x14ac:dyDescent="0.25">
      <c r="A81" s="216" t="s">
        <v>282</v>
      </c>
      <c r="B81" s="202" t="s">
        <v>262</v>
      </c>
      <c r="C81" s="265"/>
    </row>
    <row r="82" spans="1:6" s="50" customFormat="1" ht="12" customHeight="1" thickBot="1" x14ac:dyDescent="0.2">
      <c r="A82" s="217" t="s">
        <v>263</v>
      </c>
      <c r="B82" s="117" t="s">
        <v>283</v>
      </c>
      <c r="C82" s="281">
        <f>SUM(C83:C86)</f>
        <v>0</v>
      </c>
    </row>
    <row r="83" spans="1:6" s="50" customFormat="1" ht="12" customHeight="1" x14ac:dyDescent="0.2">
      <c r="A83" s="218" t="s">
        <v>264</v>
      </c>
      <c r="B83" s="200" t="s">
        <v>265</v>
      </c>
      <c r="C83" s="265"/>
    </row>
    <row r="84" spans="1:6" s="50" customFormat="1" ht="12" customHeight="1" x14ac:dyDescent="0.2">
      <c r="A84" s="219" t="s">
        <v>266</v>
      </c>
      <c r="B84" s="201" t="s">
        <v>267</v>
      </c>
      <c r="C84" s="265"/>
    </row>
    <row r="85" spans="1:6" s="50" customFormat="1" ht="12" customHeight="1" x14ac:dyDescent="0.2">
      <c r="A85" s="219" t="s">
        <v>268</v>
      </c>
      <c r="B85" s="201" t="s">
        <v>269</v>
      </c>
      <c r="C85" s="265"/>
    </row>
    <row r="86" spans="1:6" s="49" customFormat="1" ht="12" customHeight="1" thickBot="1" x14ac:dyDescent="0.25">
      <c r="A86" s="220" t="s">
        <v>270</v>
      </c>
      <c r="B86" s="202" t="s">
        <v>271</v>
      </c>
      <c r="C86" s="265"/>
    </row>
    <row r="87" spans="1:6" s="49" customFormat="1" ht="12" customHeight="1" thickBot="1" x14ac:dyDescent="0.2">
      <c r="A87" s="217" t="s">
        <v>272</v>
      </c>
      <c r="B87" s="117" t="s">
        <v>453</v>
      </c>
      <c r="C87" s="286"/>
    </row>
    <row r="88" spans="1:6" s="49" customFormat="1" ht="12" customHeight="1" thickBot="1" x14ac:dyDescent="0.2">
      <c r="A88" s="217" t="s">
        <v>505</v>
      </c>
      <c r="B88" s="117" t="s">
        <v>273</v>
      </c>
      <c r="C88" s="286"/>
    </row>
    <row r="89" spans="1:6" s="49" customFormat="1" ht="12" customHeight="1" thickBot="1" x14ac:dyDescent="0.2">
      <c r="A89" s="217" t="s">
        <v>506</v>
      </c>
      <c r="B89" s="207" t="s">
        <v>454</v>
      </c>
      <c r="C89" s="284">
        <f>+C66+C70+C75+C78+C82+C88+C87</f>
        <v>564033182</v>
      </c>
    </row>
    <row r="90" spans="1:6" s="49" customFormat="1" ht="12" customHeight="1" thickBot="1" x14ac:dyDescent="0.2">
      <c r="A90" s="221" t="s">
        <v>507</v>
      </c>
      <c r="B90" s="208" t="s">
        <v>508</v>
      </c>
      <c r="C90" s="284">
        <f>+C65+C89</f>
        <v>3420346868</v>
      </c>
      <c r="F90" s="41"/>
    </row>
    <row r="91" spans="1:6" s="50" customFormat="1" ht="15" customHeight="1" thickBot="1" x14ac:dyDescent="0.25">
      <c r="A91" s="98"/>
      <c r="B91" s="99"/>
      <c r="C91" s="176"/>
    </row>
    <row r="92" spans="1:6" s="40" customFormat="1" ht="16.5" customHeight="1" thickBot="1" x14ac:dyDescent="0.25">
      <c r="A92" s="102"/>
      <c r="B92" s="103" t="s">
        <v>58</v>
      </c>
      <c r="C92" s="178"/>
    </row>
    <row r="93" spans="1:6" s="51" customFormat="1" ht="12" customHeight="1" thickBot="1" x14ac:dyDescent="0.25">
      <c r="A93" s="192" t="s">
        <v>19</v>
      </c>
      <c r="B93" s="24" t="s">
        <v>518</v>
      </c>
      <c r="C93" s="289">
        <f>+C94+C95+C96+C97+C98+C111</f>
        <v>722624180</v>
      </c>
    </row>
    <row r="94" spans="1:6" ht="12" customHeight="1" x14ac:dyDescent="0.2">
      <c r="A94" s="222" t="s">
        <v>95</v>
      </c>
      <c r="B94" s="8" t="s">
        <v>49</v>
      </c>
      <c r="C94" s="872">
        <f>23173251+1407675+14384916+5742073+3199848+1778250-1778250-1999024+14192193+161555-6623900-290839+55000-558508</f>
        <v>52844240</v>
      </c>
    </row>
    <row r="95" spans="1:6" ht="12" customHeight="1" x14ac:dyDescent="0.2">
      <c r="A95" s="215" t="s">
        <v>96</v>
      </c>
      <c r="B95" s="6" t="s">
        <v>144</v>
      </c>
      <c r="C95" s="1004">
        <f>4364055+2684650+1007723+561576+346750-346750-350976+2270271+25445-1043264-34782+12054</f>
        <v>9496752</v>
      </c>
    </row>
    <row r="96" spans="1:6" ht="12" customHeight="1" x14ac:dyDescent="0.2">
      <c r="A96" s="215" t="s">
        <v>97</v>
      </c>
      <c r="B96" s="6" t="s">
        <v>120</v>
      </c>
      <c r="C96" s="1027">
        <f>415496+34588831+889000+313996+698500+16688593+835000+27068590+825500+43854655+20525292+7125983+1438017+300000+49047304+2354100+10000+4070204+8850000+91201+400000+2984246+7332000-346116+100000+10000-7239000+2000000+55847949+23353056+17254240+7678264-16660+37936-27958992-4000000</f>
        <v>297427185</v>
      </c>
    </row>
    <row r="97" spans="1:3" ht="12" customHeight="1" x14ac:dyDescent="0.2">
      <c r="A97" s="215" t="s">
        <v>98</v>
      </c>
      <c r="B97" s="9" t="s">
        <v>145</v>
      </c>
      <c r="C97" s="1005">
        <f>24250000+48100000+3500000-24250000</f>
        <v>51600000</v>
      </c>
    </row>
    <row r="98" spans="1:3" ht="12" customHeight="1" x14ac:dyDescent="0.2">
      <c r="A98" s="215" t="s">
        <v>109</v>
      </c>
      <c r="B98" s="6" t="s">
        <v>146</v>
      </c>
      <c r="C98" s="269">
        <f>SUM(C99:C110)</f>
        <v>248275261</v>
      </c>
    </row>
    <row r="99" spans="1:3" ht="12" customHeight="1" x14ac:dyDescent="0.2">
      <c r="A99" s="215" t="s">
        <v>99</v>
      </c>
      <c r="B99" s="6" t="s">
        <v>509</v>
      </c>
      <c r="C99" s="269">
        <f>100000+6500000</f>
        <v>6600000</v>
      </c>
    </row>
    <row r="100" spans="1:3" ht="12" customHeight="1" x14ac:dyDescent="0.2">
      <c r="A100" s="215" t="s">
        <v>100</v>
      </c>
      <c r="B100" s="71" t="s">
        <v>458</v>
      </c>
      <c r="C100" s="269"/>
    </row>
    <row r="101" spans="1:3" ht="12" customHeight="1" x14ac:dyDescent="0.2">
      <c r="A101" s="215" t="s">
        <v>110</v>
      </c>
      <c r="B101" s="71" t="s">
        <v>459</v>
      </c>
      <c r="C101" s="269"/>
    </row>
    <row r="102" spans="1:3" ht="12" customHeight="1" x14ac:dyDescent="0.2">
      <c r="A102" s="215" t="s">
        <v>111</v>
      </c>
      <c r="B102" s="71" t="s">
        <v>289</v>
      </c>
      <c r="C102" s="269"/>
    </row>
    <row r="103" spans="1:3" ht="12" customHeight="1" x14ac:dyDescent="0.2">
      <c r="A103" s="215" t="s">
        <v>112</v>
      </c>
      <c r="B103" s="72" t="s">
        <v>290</v>
      </c>
      <c r="C103" s="269"/>
    </row>
    <row r="104" spans="1:3" ht="12" customHeight="1" x14ac:dyDescent="0.2">
      <c r="A104" s="215" t="s">
        <v>113</v>
      </c>
      <c r="B104" s="72" t="s">
        <v>291</v>
      </c>
      <c r="C104" s="269"/>
    </row>
    <row r="105" spans="1:3" ht="12" customHeight="1" x14ac:dyDescent="0.2">
      <c r="A105" s="215" t="s">
        <v>115</v>
      </c>
      <c r="B105" s="71" t="s">
        <v>292</v>
      </c>
      <c r="C105" s="269">
        <f>523000+67500</f>
        <v>590500</v>
      </c>
    </row>
    <row r="106" spans="1:3" ht="12" customHeight="1" x14ac:dyDescent="0.2">
      <c r="A106" s="215" t="s">
        <v>147</v>
      </c>
      <c r="B106" s="71" t="s">
        <v>293</v>
      </c>
      <c r="C106" s="552"/>
    </row>
    <row r="107" spans="1:3" ht="12" customHeight="1" x14ac:dyDescent="0.2">
      <c r="A107" s="215" t="s">
        <v>287</v>
      </c>
      <c r="B107" s="72" t="s">
        <v>294</v>
      </c>
      <c r="C107" s="269">
        <v>15000000</v>
      </c>
    </row>
    <row r="108" spans="1:3" ht="12" customHeight="1" x14ac:dyDescent="0.2">
      <c r="A108" s="223" t="s">
        <v>288</v>
      </c>
      <c r="B108" s="73" t="s">
        <v>295</v>
      </c>
      <c r="C108" s="269"/>
    </row>
    <row r="109" spans="1:3" ht="12" customHeight="1" x14ac:dyDescent="0.2">
      <c r="A109" s="215" t="s">
        <v>460</v>
      </c>
      <c r="B109" s="73" t="s">
        <v>296</v>
      </c>
      <c r="C109" s="269"/>
    </row>
    <row r="110" spans="1:3" ht="12" customHeight="1" x14ac:dyDescent="0.2">
      <c r="A110" s="215" t="s">
        <v>461</v>
      </c>
      <c r="B110" s="72" t="s">
        <v>297</v>
      </c>
      <c r="C110" s="1019">
        <f>1000000+47869145+6604733+15489215+46984511+1500000+500000+6000000+200000+150000+9076783+69312000+7332000+1437616+580000-7332000+9625137+15000000+5755621-15000000+4000000</f>
        <v>226084761</v>
      </c>
    </row>
    <row r="111" spans="1:3" ht="12" customHeight="1" x14ac:dyDescent="0.2">
      <c r="A111" s="215" t="s">
        <v>462</v>
      </c>
      <c r="B111" s="9" t="s">
        <v>50</v>
      </c>
      <c r="C111" s="265">
        <f>SUM(C112:C113)</f>
        <v>62980742</v>
      </c>
    </row>
    <row r="112" spans="1:3" ht="12" customHeight="1" x14ac:dyDescent="0.2">
      <c r="A112" s="216" t="s">
        <v>463</v>
      </c>
      <c r="B112" s="6" t="s">
        <v>510</v>
      </c>
      <c r="C112" s="1027">
        <f>15000000-580000+1410503+2373731-7043400-3015664+1903020-5520064+42419195-2253677-6432757-11677120-1761209-23319276+4000000</f>
        <v>5503282</v>
      </c>
    </row>
    <row r="113" spans="1:6" ht="12" customHeight="1" thickBot="1" x14ac:dyDescent="0.25">
      <c r="A113" s="224" t="s">
        <v>465</v>
      </c>
      <c r="B113" s="74" t="s">
        <v>511</v>
      </c>
      <c r="C113" s="301">
        <f>63390965+131495-200000-100000-3560000-150000+5985000-420000-3000000-4600000</f>
        <v>57477460</v>
      </c>
    </row>
    <row r="114" spans="1:6" ht="12" customHeight="1" thickBot="1" x14ac:dyDescent="0.25">
      <c r="A114" s="28" t="s">
        <v>20</v>
      </c>
      <c r="B114" s="23" t="s">
        <v>298</v>
      </c>
      <c r="C114" s="281">
        <f>+C115+C117+C119</f>
        <v>1353377710</v>
      </c>
    </row>
    <row r="115" spans="1:6" ht="12" customHeight="1" x14ac:dyDescent="0.2">
      <c r="A115" s="214" t="s">
        <v>101</v>
      </c>
      <c r="B115" s="6" t="s">
        <v>163</v>
      </c>
      <c r="C115" s="891">
        <f>229989520+13809000+835610+1270000+359410+4508500+2505001+6704583+82307980+7815116+283698100-23353056+213398050+559520+190244-100000</f>
        <v>824497578</v>
      </c>
    </row>
    <row r="116" spans="1:6" ht="12" customHeight="1" x14ac:dyDescent="0.2">
      <c r="A116" s="214" t="s">
        <v>102</v>
      </c>
      <c r="B116" s="10" t="s">
        <v>302</v>
      </c>
      <c r="C116" s="891">
        <f>156693000+42191010+6704583+82307980+283698100-23353056+152706150-100000</f>
        <v>700847767</v>
      </c>
    </row>
    <row r="117" spans="1:6" ht="12" customHeight="1" x14ac:dyDescent="0.2">
      <c r="A117" s="214" t="s">
        <v>103</v>
      </c>
      <c r="B117" s="10" t="s">
        <v>148</v>
      </c>
      <c r="C117" s="1019">
        <f>9517731+51474577+42450993+1905000+81765265+315941060+88900-1182500</f>
        <v>501961026</v>
      </c>
    </row>
    <row r="118" spans="1:6" ht="12" customHeight="1" x14ac:dyDescent="0.2">
      <c r="A118" s="214" t="s">
        <v>104</v>
      </c>
      <c r="B118" s="10" t="s">
        <v>303</v>
      </c>
      <c r="C118" s="1019">
        <f>28614577+41244493+80112238-100000</f>
        <v>149871308</v>
      </c>
    </row>
    <row r="119" spans="1:6" ht="12" customHeight="1" x14ac:dyDescent="0.2">
      <c r="A119" s="214" t="s">
        <v>105</v>
      </c>
      <c r="B119" s="119" t="s">
        <v>165</v>
      </c>
      <c r="C119" s="269">
        <f>SUM(C120:C127)</f>
        <v>26919106</v>
      </c>
    </row>
    <row r="120" spans="1:6" ht="12" customHeight="1" x14ac:dyDescent="0.2">
      <c r="A120" s="214" t="s">
        <v>114</v>
      </c>
      <c r="B120" s="118" t="s">
        <v>365</v>
      </c>
      <c r="C120" s="111"/>
    </row>
    <row r="121" spans="1:6" ht="12" customHeight="1" x14ac:dyDescent="0.2">
      <c r="A121" s="214" t="s">
        <v>116</v>
      </c>
      <c r="B121" s="196" t="s">
        <v>308</v>
      </c>
      <c r="C121" s="111"/>
    </row>
    <row r="122" spans="1:6" ht="12" customHeight="1" x14ac:dyDescent="0.2">
      <c r="A122" s="214" t="s">
        <v>149</v>
      </c>
      <c r="B122" s="72" t="s">
        <v>291</v>
      </c>
      <c r="C122" s="111"/>
    </row>
    <row r="123" spans="1:6" ht="12" customHeight="1" x14ac:dyDescent="0.2">
      <c r="A123" s="214" t="s">
        <v>150</v>
      </c>
      <c r="B123" s="72" t="s">
        <v>307</v>
      </c>
      <c r="C123" s="111"/>
    </row>
    <row r="124" spans="1:6" ht="12" customHeight="1" x14ac:dyDescent="0.2">
      <c r="A124" s="214" t="s">
        <v>151</v>
      </c>
      <c r="B124" s="72" t="s">
        <v>306</v>
      </c>
      <c r="C124" s="111"/>
    </row>
    <row r="125" spans="1:6" ht="12" customHeight="1" x14ac:dyDescent="0.2">
      <c r="A125" s="214" t="s">
        <v>299</v>
      </c>
      <c r="B125" s="72" t="s">
        <v>294</v>
      </c>
      <c r="C125" s="111"/>
    </row>
    <row r="126" spans="1:6" ht="12" customHeight="1" x14ac:dyDescent="0.2">
      <c r="A126" s="214" t="s">
        <v>300</v>
      </c>
      <c r="B126" s="72" t="s">
        <v>305</v>
      </c>
      <c r="C126" s="111"/>
    </row>
    <row r="127" spans="1:6" ht="12" customHeight="1" thickBot="1" x14ac:dyDescent="0.25">
      <c r="A127" s="223" t="s">
        <v>301</v>
      </c>
      <c r="B127" s="72" t="s">
        <v>304</v>
      </c>
      <c r="C127" s="112">
        <f>650000+26269106</f>
        <v>26919106</v>
      </c>
    </row>
    <row r="128" spans="1:6" ht="12" customHeight="1" thickBot="1" x14ac:dyDescent="0.25">
      <c r="A128" s="28" t="s">
        <v>21</v>
      </c>
      <c r="B128" s="67" t="s">
        <v>467</v>
      </c>
      <c r="C128" s="281">
        <f>+C93+C114</f>
        <v>2076001890</v>
      </c>
      <c r="F128" s="272"/>
    </row>
    <row r="129" spans="1:11" ht="12" customHeight="1" thickBot="1" x14ac:dyDescent="0.25">
      <c r="A129" s="28" t="s">
        <v>22</v>
      </c>
      <c r="B129" s="67" t="s">
        <v>468</v>
      </c>
      <c r="C129" s="281">
        <f>+C130+C131+C132</f>
        <v>111674500</v>
      </c>
    </row>
    <row r="130" spans="1:11" s="51" customFormat="1" ht="12" customHeight="1" x14ac:dyDescent="0.2">
      <c r="A130" s="214" t="s">
        <v>200</v>
      </c>
      <c r="B130" s="7" t="s">
        <v>512</v>
      </c>
      <c r="C130" s="265">
        <f>11674500</f>
        <v>11674500</v>
      </c>
    </row>
    <row r="131" spans="1:11" ht="12" customHeight="1" x14ac:dyDescent="0.2">
      <c r="A131" s="214" t="s">
        <v>203</v>
      </c>
      <c r="B131" s="7" t="s">
        <v>470</v>
      </c>
      <c r="C131" s="111">
        <f>100000000</f>
        <v>100000000</v>
      </c>
    </row>
    <row r="132" spans="1:11" ht="12" customHeight="1" thickBot="1" x14ac:dyDescent="0.25">
      <c r="A132" s="223" t="s">
        <v>204</v>
      </c>
      <c r="B132" s="5" t="s">
        <v>513</v>
      </c>
      <c r="C132" s="111"/>
    </row>
    <row r="133" spans="1:11" ht="12" customHeight="1" thickBot="1" x14ac:dyDescent="0.25">
      <c r="A133" s="28" t="s">
        <v>23</v>
      </c>
      <c r="B133" s="67" t="s">
        <v>472</v>
      </c>
      <c r="C133" s="281">
        <f>+C134+C135+C136+C137+C138+C139</f>
        <v>0</v>
      </c>
    </row>
    <row r="134" spans="1:11" ht="12" customHeight="1" x14ac:dyDescent="0.2">
      <c r="A134" s="214" t="s">
        <v>88</v>
      </c>
      <c r="B134" s="7" t="s">
        <v>473</v>
      </c>
      <c r="C134" s="111"/>
    </row>
    <row r="135" spans="1:11" ht="12" customHeight="1" x14ac:dyDescent="0.2">
      <c r="A135" s="214" t="s">
        <v>89</v>
      </c>
      <c r="B135" s="7" t="s">
        <v>474</v>
      </c>
      <c r="C135" s="111"/>
    </row>
    <row r="136" spans="1:11" ht="12" customHeight="1" x14ac:dyDescent="0.2">
      <c r="A136" s="214" t="s">
        <v>90</v>
      </c>
      <c r="B136" s="7" t="s">
        <v>475</v>
      </c>
      <c r="C136" s="111"/>
    </row>
    <row r="137" spans="1:11" ht="12" customHeight="1" x14ac:dyDescent="0.2">
      <c r="A137" s="214" t="s">
        <v>136</v>
      </c>
      <c r="B137" s="7" t="s">
        <v>514</v>
      </c>
      <c r="C137" s="111"/>
    </row>
    <row r="138" spans="1:11" ht="12" customHeight="1" x14ac:dyDescent="0.2">
      <c r="A138" s="214" t="s">
        <v>137</v>
      </c>
      <c r="B138" s="7" t="s">
        <v>477</v>
      </c>
      <c r="C138" s="111"/>
    </row>
    <row r="139" spans="1:11" s="51" customFormat="1" ht="12" customHeight="1" thickBot="1" x14ac:dyDescent="0.25">
      <c r="A139" s="223" t="s">
        <v>138</v>
      </c>
      <c r="B139" s="5" t="s">
        <v>478</v>
      </c>
      <c r="C139" s="111"/>
    </row>
    <row r="140" spans="1:11" ht="12" customHeight="1" thickBot="1" x14ac:dyDescent="0.25">
      <c r="A140" s="28" t="s">
        <v>24</v>
      </c>
      <c r="B140" s="67" t="s">
        <v>515</v>
      </c>
      <c r="C140" s="284">
        <f>+C141+C142+C143+C144</f>
        <v>41904332</v>
      </c>
      <c r="K140" s="110"/>
    </row>
    <row r="141" spans="1:11" x14ac:dyDescent="0.2">
      <c r="A141" s="214" t="s">
        <v>91</v>
      </c>
      <c r="B141" s="7" t="s">
        <v>309</v>
      </c>
      <c r="C141" s="111"/>
    </row>
    <row r="142" spans="1:11" ht="12" customHeight="1" x14ac:dyDescent="0.2">
      <c r="A142" s="214" t="s">
        <v>92</v>
      </c>
      <c r="B142" s="7" t="s">
        <v>310</v>
      </c>
      <c r="C142" s="111">
        <f>41904332</f>
        <v>41904332</v>
      </c>
    </row>
    <row r="143" spans="1:11" s="51" customFormat="1" ht="12" customHeight="1" x14ac:dyDescent="0.2">
      <c r="A143" s="214" t="s">
        <v>223</v>
      </c>
      <c r="B143" s="7" t="s">
        <v>480</v>
      </c>
      <c r="C143" s="111"/>
    </row>
    <row r="144" spans="1:11" s="51" customFormat="1" ht="12" customHeight="1" thickBot="1" x14ac:dyDescent="0.25">
      <c r="A144" s="223" t="s">
        <v>224</v>
      </c>
      <c r="B144" s="5" t="s">
        <v>328</v>
      </c>
      <c r="C144" s="111"/>
    </row>
    <row r="145" spans="1:6" s="51" customFormat="1" ht="12" customHeight="1" thickBot="1" x14ac:dyDescent="0.25">
      <c r="A145" s="28" t="s">
        <v>25</v>
      </c>
      <c r="B145" s="67" t="s">
        <v>481</v>
      </c>
      <c r="C145" s="291">
        <f>+C146+C147+C148+C149+C150</f>
        <v>0</v>
      </c>
    </row>
    <row r="146" spans="1:6" s="51" customFormat="1" ht="12" customHeight="1" x14ac:dyDescent="0.2">
      <c r="A146" s="214" t="s">
        <v>93</v>
      </c>
      <c r="B146" s="7" t="s">
        <v>482</v>
      </c>
      <c r="C146" s="111"/>
    </row>
    <row r="147" spans="1:6" s="51" customFormat="1" ht="12" customHeight="1" x14ac:dyDescent="0.2">
      <c r="A147" s="214" t="s">
        <v>94</v>
      </c>
      <c r="B147" s="7" t="s">
        <v>483</v>
      </c>
      <c r="C147" s="111"/>
    </row>
    <row r="148" spans="1:6" s="51" customFormat="1" ht="12" customHeight="1" x14ac:dyDescent="0.2">
      <c r="A148" s="214" t="s">
        <v>235</v>
      </c>
      <c r="B148" s="7" t="s">
        <v>484</v>
      </c>
      <c r="C148" s="111"/>
    </row>
    <row r="149" spans="1:6" ht="12.75" customHeight="1" x14ac:dyDescent="0.2">
      <c r="A149" s="214" t="s">
        <v>236</v>
      </c>
      <c r="B149" s="7" t="s">
        <v>516</v>
      </c>
      <c r="C149" s="111"/>
    </row>
    <row r="150" spans="1:6" ht="12.75" customHeight="1" thickBot="1" x14ac:dyDescent="0.25">
      <c r="A150" s="223" t="s">
        <v>486</v>
      </c>
      <c r="B150" s="5" t="s">
        <v>487</v>
      </c>
      <c r="C150" s="112"/>
    </row>
    <row r="151" spans="1:6" ht="12.75" customHeight="1" thickBot="1" x14ac:dyDescent="0.25">
      <c r="A151" s="261" t="s">
        <v>26</v>
      </c>
      <c r="B151" s="67" t="s">
        <v>488</v>
      </c>
      <c r="C151" s="291"/>
    </row>
    <row r="152" spans="1:6" ht="12" customHeight="1" thickBot="1" x14ac:dyDescent="0.25">
      <c r="A152" s="261" t="s">
        <v>27</v>
      </c>
      <c r="B152" s="67" t="s">
        <v>489</v>
      </c>
      <c r="C152" s="291"/>
    </row>
    <row r="153" spans="1:6" ht="15" customHeight="1" thickBot="1" x14ac:dyDescent="0.25">
      <c r="A153" s="28" t="s">
        <v>28</v>
      </c>
      <c r="B153" s="67" t="s">
        <v>490</v>
      </c>
      <c r="C153" s="292">
        <f>+C129+C133+C140+C145+C151+C152</f>
        <v>153578832</v>
      </c>
    </row>
    <row r="154" spans="1:6" ht="13.5" thickBot="1" x14ac:dyDescent="0.25">
      <c r="A154" s="225" t="s">
        <v>29</v>
      </c>
      <c r="B154" s="185" t="s">
        <v>491</v>
      </c>
      <c r="C154" s="292">
        <f>+C128+C153</f>
        <v>2229580722</v>
      </c>
      <c r="F154" s="33"/>
    </row>
    <row r="155" spans="1:6" ht="15" customHeight="1" thickBot="1" x14ac:dyDescent="0.25"/>
    <row r="156" spans="1:6" ht="14.25" customHeight="1" thickBot="1" x14ac:dyDescent="0.25">
      <c r="A156" s="107" t="s">
        <v>517</v>
      </c>
      <c r="B156" s="108"/>
      <c r="C156" s="66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4/2020.(II.28.)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view="pageLayout" topLeftCell="B1" zoomScaleNormal="115" zoomScaleSheetLayoutView="85" workbookViewId="0">
      <selection activeCell="E9" sqref="E9"/>
    </sheetView>
  </sheetViews>
  <sheetFormatPr defaultRowHeight="12.75" x14ac:dyDescent="0.2"/>
  <cols>
    <col min="1" max="1" width="19.5" style="400" customWidth="1"/>
    <col min="2" max="2" width="72" style="401" customWidth="1"/>
    <col min="3" max="3" width="25" style="402" customWidth="1"/>
    <col min="4" max="16384" width="9.33203125" style="2"/>
  </cols>
  <sheetData>
    <row r="1" spans="1:3" s="1" customFormat="1" ht="16.5" customHeight="1" thickBot="1" x14ac:dyDescent="0.25">
      <c r="A1" s="84"/>
      <c r="B1" s="86"/>
      <c r="C1" s="109"/>
    </row>
    <row r="2" spans="1:3" s="47" customFormat="1" ht="21" customHeight="1" x14ac:dyDescent="0.2">
      <c r="A2" s="190" t="s">
        <v>63</v>
      </c>
      <c r="B2" s="167" t="s">
        <v>160</v>
      </c>
      <c r="C2" s="169" t="s">
        <v>54</v>
      </c>
    </row>
    <row r="3" spans="1:3" s="47" customFormat="1" ht="16.5" thickBot="1" x14ac:dyDescent="0.25">
      <c r="A3" s="87" t="s">
        <v>157</v>
      </c>
      <c r="B3" s="168" t="s">
        <v>367</v>
      </c>
      <c r="C3" s="260" t="s">
        <v>62</v>
      </c>
    </row>
    <row r="4" spans="1:3" s="48" customFormat="1" ht="15.95" customHeight="1" thickBot="1" x14ac:dyDescent="0.3">
      <c r="A4" s="88"/>
      <c r="B4" s="88"/>
      <c r="C4" s="89" t="s">
        <v>553</v>
      </c>
    </row>
    <row r="5" spans="1:3" ht="13.5" thickBot="1" x14ac:dyDescent="0.25">
      <c r="A5" s="191" t="s">
        <v>159</v>
      </c>
      <c r="B5" s="90" t="s">
        <v>55</v>
      </c>
      <c r="C5" s="170" t="s">
        <v>56</v>
      </c>
    </row>
    <row r="6" spans="1:3" s="40" customFormat="1" ht="12.95" customHeight="1" thickBot="1" x14ac:dyDescent="0.25">
      <c r="A6" s="77" t="s">
        <v>443</v>
      </c>
      <c r="B6" s="78" t="s">
        <v>444</v>
      </c>
      <c r="C6" s="79" t="s">
        <v>445</v>
      </c>
    </row>
    <row r="7" spans="1:3" s="40" customFormat="1" ht="15.95" customHeight="1" thickBot="1" x14ac:dyDescent="0.25">
      <c r="A7" s="92"/>
      <c r="B7" s="93" t="s">
        <v>57</v>
      </c>
      <c r="C7" s="171"/>
    </row>
    <row r="8" spans="1:3" s="40" customFormat="1" ht="12" customHeight="1" thickBot="1" x14ac:dyDescent="0.25">
      <c r="A8" s="28" t="s">
        <v>19</v>
      </c>
      <c r="B8" s="19" t="s">
        <v>184</v>
      </c>
      <c r="C8" s="281">
        <f>+C9+C10+C11+C12+C13+C14</f>
        <v>266011518</v>
      </c>
    </row>
    <row r="9" spans="1:3" s="49" customFormat="1" ht="12" customHeight="1" x14ac:dyDescent="0.2">
      <c r="A9" s="214" t="s">
        <v>95</v>
      </c>
      <c r="B9" s="200" t="s">
        <v>185</v>
      </c>
      <c r="C9" s="283"/>
    </row>
    <row r="10" spans="1:3" s="50" customFormat="1" ht="12" customHeight="1" x14ac:dyDescent="0.2">
      <c r="A10" s="215" t="s">
        <v>96</v>
      </c>
      <c r="B10" s="201" t="s">
        <v>186</v>
      </c>
      <c r="C10" s="111"/>
    </row>
    <row r="11" spans="1:3" s="50" customFormat="1" ht="12" customHeight="1" x14ac:dyDescent="0.2">
      <c r="A11" s="215" t="s">
        <v>97</v>
      </c>
      <c r="B11" s="201" t="s">
        <v>187</v>
      </c>
      <c r="C11" s="1019">
        <f>152850000+73694436+34341000+5126082</f>
        <v>266011518</v>
      </c>
    </row>
    <row r="12" spans="1:3" s="50" customFormat="1" ht="12" customHeight="1" x14ac:dyDescent="0.2">
      <c r="A12" s="215" t="s">
        <v>98</v>
      </c>
      <c r="B12" s="201" t="s">
        <v>188</v>
      </c>
      <c r="C12" s="111"/>
    </row>
    <row r="13" spans="1:3" s="50" customFormat="1" ht="12" customHeight="1" x14ac:dyDescent="0.2">
      <c r="A13" s="215" t="s">
        <v>121</v>
      </c>
      <c r="B13" s="201" t="s">
        <v>504</v>
      </c>
      <c r="C13" s="265"/>
    </row>
    <row r="14" spans="1:3" s="49" customFormat="1" ht="12" customHeight="1" thickBot="1" x14ac:dyDescent="0.25">
      <c r="A14" s="216" t="s">
        <v>99</v>
      </c>
      <c r="B14" s="202" t="s">
        <v>447</v>
      </c>
      <c r="C14" s="111"/>
    </row>
    <row r="15" spans="1:3" s="49" customFormat="1" ht="12" customHeight="1" thickBot="1" x14ac:dyDescent="0.25">
      <c r="A15" s="28" t="s">
        <v>20</v>
      </c>
      <c r="B15" s="117" t="s">
        <v>189</v>
      </c>
      <c r="C15" s="281">
        <f>+C16+C17+C18+C19+C20</f>
        <v>117644646</v>
      </c>
    </row>
    <row r="16" spans="1:3" s="49" customFormat="1" ht="12" customHeight="1" x14ac:dyDescent="0.2">
      <c r="A16" s="214" t="s">
        <v>101</v>
      </c>
      <c r="B16" s="200" t="s">
        <v>190</v>
      </c>
      <c r="C16" s="283"/>
    </row>
    <row r="17" spans="1:3" s="49" customFormat="1" ht="12" customHeight="1" x14ac:dyDescent="0.2">
      <c r="A17" s="215" t="s">
        <v>102</v>
      </c>
      <c r="B17" s="201" t="s">
        <v>191</v>
      </c>
      <c r="C17" s="111"/>
    </row>
    <row r="18" spans="1:3" s="49" customFormat="1" ht="12" customHeight="1" x14ac:dyDescent="0.2">
      <c r="A18" s="215" t="s">
        <v>103</v>
      </c>
      <c r="B18" s="201" t="s">
        <v>359</v>
      </c>
      <c r="C18" s="111"/>
    </row>
    <row r="19" spans="1:3" s="49" customFormat="1" ht="12" customHeight="1" x14ac:dyDescent="0.2">
      <c r="A19" s="215" t="s">
        <v>104</v>
      </c>
      <c r="B19" s="201" t="s">
        <v>360</v>
      </c>
      <c r="C19" s="111"/>
    </row>
    <row r="20" spans="1:3" s="49" customFormat="1" ht="12" customHeight="1" x14ac:dyDescent="0.2">
      <c r="A20" s="215" t="s">
        <v>105</v>
      </c>
      <c r="B20" s="201" t="s">
        <v>192</v>
      </c>
      <c r="C20" s="1019">
        <f>102792540+3975280+5540419+5336407</f>
        <v>117644646</v>
      </c>
    </row>
    <row r="21" spans="1:3" s="50" customFormat="1" ht="12" customHeight="1" thickBot="1" x14ac:dyDescent="0.25">
      <c r="A21" s="216" t="s">
        <v>114</v>
      </c>
      <c r="B21" s="202" t="s">
        <v>193</v>
      </c>
      <c r="C21" s="269"/>
    </row>
    <row r="22" spans="1:3" s="50" customFormat="1" ht="12" customHeight="1" thickBot="1" x14ac:dyDescent="0.25">
      <c r="A22" s="28" t="s">
        <v>21</v>
      </c>
      <c r="B22" s="19" t="s">
        <v>194</v>
      </c>
      <c r="C22" s="281">
        <f>+C23+C24+C25+C26+C27</f>
        <v>0</v>
      </c>
    </row>
    <row r="23" spans="1:3" s="50" customFormat="1" ht="12" customHeight="1" x14ac:dyDescent="0.2">
      <c r="A23" s="214" t="s">
        <v>84</v>
      </c>
      <c r="B23" s="200" t="s">
        <v>195</v>
      </c>
      <c r="C23" s="283"/>
    </row>
    <row r="24" spans="1:3" s="49" customFormat="1" ht="12" customHeight="1" x14ac:dyDescent="0.2">
      <c r="A24" s="215" t="s">
        <v>85</v>
      </c>
      <c r="B24" s="201" t="s">
        <v>196</v>
      </c>
      <c r="C24" s="111"/>
    </row>
    <row r="25" spans="1:3" s="50" customFormat="1" ht="12" customHeight="1" x14ac:dyDescent="0.2">
      <c r="A25" s="215" t="s">
        <v>86</v>
      </c>
      <c r="B25" s="201" t="s">
        <v>361</v>
      </c>
      <c r="C25" s="111"/>
    </row>
    <row r="26" spans="1:3" s="50" customFormat="1" ht="12" customHeight="1" x14ac:dyDescent="0.2">
      <c r="A26" s="215" t="s">
        <v>87</v>
      </c>
      <c r="B26" s="201" t="s">
        <v>362</v>
      </c>
      <c r="C26" s="111"/>
    </row>
    <row r="27" spans="1:3" s="50" customFormat="1" ht="12" customHeight="1" x14ac:dyDescent="0.2">
      <c r="A27" s="215" t="s">
        <v>132</v>
      </c>
      <c r="B27" s="201" t="s">
        <v>197</v>
      </c>
      <c r="C27" s="265"/>
    </row>
    <row r="28" spans="1:3" s="50" customFormat="1" ht="12" customHeight="1" thickBot="1" x14ac:dyDescent="0.25">
      <c r="A28" s="216" t="s">
        <v>133</v>
      </c>
      <c r="B28" s="202" t="s">
        <v>198</v>
      </c>
      <c r="C28" s="269"/>
    </row>
    <row r="29" spans="1:3" s="50" customFormat="1" ht="12" customHeight="1" thickBot="1" x14ac:dyDescent="0.25">
      <c r="A29" s="28" t="s">
        <v>134</v>
      </c>
      <c r="B29" s="19" t="s">
        <v>620</v>
      </c>
      <c r="C29" s="284">
        <f>+C30+C34+C35+C36</f>
        <v>0</v>
      </c>
    </row>
    <row r="30" spans="1:3" s="50" customFormat="1" ht="12" customHeight="1" x14ac:dyDescent="0.2">
      <c r="A30" s="214" t="s">
        <v>200</v>
      </c>
      <c r="B30" s="200" t="s">
        <v>602</v>
      </c>
      <c r="C30" s="299">
        <f>SUM(C31:C32)</f>
        <v>0</v>
      </c>
    </row>
    <row r="31" spans="1:3" s="50" customFormat="1" ht="12" customHeight="1" x14ac:dyDescent="0.2">
      <c r="A31" s="215" t="s">
        <v>201</v>
      </c>
      <c r="B31" s="201" t="s">
        <v>206</v>
      </c>
      <c r="C31" s="111"/>
    </row>
    <row r="32" spans="1:3" s="50" customFormat="1" ht="12" customHeight="1" x14ac:dyDescent="0.2">
      <c r="A32" s="215" t="s">
        <v>202</v>
      </c>
      <c r="B32" s="248" t="s">
        <v>601</v>
      </c>
      <c r="C32" s="111"/>
    </row>
    <row r="33" spans="1:3" s="50" customFormat="1" ht="12" customHeight="1" x14ac:dyDescent="0.2">
      <c r="A33" s="215" t="s">
        <v>203</v>
      </c>
      <c r="B33" s="201" t="s">
        <v>534</v>
      </c>
      <c r="C33" s="111"/>
    </row>
    <row r="34" spans="1:3" s="50" customFormat="1" ht="12" customHeight="1" x14ac:dyDescent="0.2">
      <c r="A34" s="215" t="s">
        <v>535</v>
      </c>
      <c r="B34" s="201" t="s">
        <v>207</v>
      </c>
      <c r="C34" s="111"/>
    </row>
    <row r="35" spans="1:3" s="50" customFormat="1" ht="12" customHeight="1" x14ac:dyDescent="0.2">
      <c r="A35" s="215" t="s">
        <v>205</v>
      </c>
      <c r="B35" s="201" t="s">
        <v>208</v>
      </c>
      <c r="C35" s="111"/>
    </row>
    <row r="36" spans="1:3" s="50" customFormat="1" ht="12" customHeight="1" thickBot="1" x14ac:dyDescent="0.25">
      <c r="A36" s="216" t="s">
        <v>536</v>
      </c>
      <c r="B36" s="202" t="s">
        <v>209</v>
      </c>
      <c r="C36" s="112"/>
    </row>
    <row r="37" spans="1:3" s="50" customFormat="1" ht="12" customHeight="1" thickBot="1" x14ac:dyDescent="0.25">
      <c r="A37" s="28" t="s">
        <v>23</v>
      </c>
      <c r="B37" s="19" t="s">
        <v>448</v>
      </c>
      <c r="C37" s="281">
        <f>SUM(C38:C48)</f>
        <v>15632114</v>
      </c>
    </row>
    <row r="38" spans="1:3" s="50" customFormat="1" ht="12" customHeight="1" x14ac:dyDescent="0.2">
      <c r="A38" s="214" t="s">
        <v>88</v>
      </c>
      <c r="B38" s="200" t="s">
        <v>212</v>
      </c>
      <c r="C38" s="283">
        <f>10375680</f>
        <v>10375680</v>
      </c>
    </row>
    <row r="39" spans="1:3" s="50" customFormat="1" ht="12" customHeight="1" x14ac:dyDescent="0.2">
      <c r="A39" s="215" t="s">
        <v>89</v>
      </c>
      <c r="B39" s="201" t="s">
        <v>213</v>
      </c>
      <c r="C39" s="1004">
        <f>787402+500000+66929+314961</f>
        <v>1669292</v>
      </c>
    </row>
    <row r="40" spans="1:3" s="50" customFormat="1" ht="12" customHeight="1" x14ac:dyDescent="0.2">
      <c r="A40" s="215" t="s">
        <v>90</v>
      </c>
      <c r="B40" s="201" t="s">
        <v>214</v>
      </c>
      <c r="C40" s="265"/>
    </row>
    <row r="41" spans="1:3" s="50" customFormat="1" ht="12" customHeight="1" x14ac:dyDescent="0.2">
      <c r="A41" s="215" t="s">
        <v>136</v>
      </c>
      <c r="B41" s="201" t="s">
        <v>215</v>
      </c>
      <c r="C41" s="265"/>
    </row>
    <row r="42" spans="1:3" s="50" customFormat="1" ht="12" customHeight="1" x14ac:dyDescent="0.2">
      <c r="A42" s="215" t="s">
        <v>137</v>
      </c>
      <c r="B42" s="201" t="s">
        <v>216</v>
      </c>
      <c r="C42" s="265"/>
    </row>
    <row r="43" spans="1:3" s="50" customFormat="1" ht="12" customHeight="1" x14ac:dyDescent="0.2">
      <c r="A43" s="215" t="s">
        <v>138</v>
      </c>
      <c r="B43" s="201" t="s">
        <v>217</v>
      </c>
      <c r="C43" s="1004">
        <f>212598+2801434+135000+18071+85039</f>
        <v>3252142</v>
      </c>
    </row>
    <row r="44" spans="1:3" s="50" customFormat="1" ht="12" customHeight="1" x14ac:dyDescent="0.2">
      <c r="A44" s="215" t="s">
        <v>139</v>
      </c>
      <c r="B44" s="201" t="s">
        <v>218</v>
      </c>
      <c r="C44" s="265"/>
    </row>
    <row r="45" spans="1:3" s="50" customFormat="1" ht="12" customHeight="1" x14ac:dyDescent="0.2">
      <c r="A45" s="215" t="s">
        <v>140</v>
      </c>
      <c r="B45" s="201" t="s">
        <v>219</v>
      </c>
      <c r="C45" s="111"/>
    </row>
    <row r="46" spans="1:3" s="50" customFormat="1" ht="12" customHeight="1" x14ac:dyDescent="0.2">
      <c r="A46" s="215" t="s">
        <v>210</v>
      </c>
      <c r="B46" s="201" t="s">
        <v>220</v>
      </c>
      <c r="C46" s="265"/>
    </row>
    <row r="47" spans="1:3" s="50" customFormat="1" ht="12" customHeight="1" x14ac:dyDescent="0.2">
      <c r="A47" s="216" t="s">
        <v>211</v>
      </c>
      <c r="B47" s="202" t="s">
        <v>449</v>
      </c>
      <c r="C47" s="269"/>
    </row>
    <row r="48" spans="1:3" s="50" customFormat="1" ht="12" customHeight="1" thickBot="1" x14ac:dyDescent="0.25">
      <c r="A48" s="216" t="s">
        <v>450</v>
      </c>
      <c r="B48" s="202" t="s">
        <v>221</v>
      </c>
      <c r="C48" s="269">
        <f>335000</f>
        <v>335000</v>
      </c>
    </row>
    <row r="49" spans="1:3" s="50" customFormat="1" ht="12" customHeight="1" thickBot="1" x14ac:dyDescent="0.25">
      <c r="A49" s="28" t="s">
        <v>24</v>
      </c>
      <c r="B49" s="19" t="s">
        <v>222</v>
      </c>
      <c r="C49" s="281">
        <f>SUM(C50:C54)</f>
        <v>0</v>
      </c>
    </row>
    <row r="50" spans="1:3" s="50" customFormat="1" ht="12" customHeight="1" x14ac:dyDescent="0.2">
      <c r="A50" s="214" t="s">
        <v>91</v>
      </c>
      <c r="B50" s="200" t="s">
        <v>226</v>
      </c>
      <c r="C50" s="285"/>
    </row>
    <row r="51" spans="1:3" s="50" customFormat="1" ht="12" customHeight="1" x14ac:dyDescent="0.2">
      <c r="A51" s="215" t="s">
        <v>92</v>
      </c>
      <c r="B51" s="201" t="s">
        <v>227</v>
      </c>
      <c r="C51" s="265"/>
    </row>
    <row r="52" spans="1:3" s="50" customFormat="1" ht="12" customHeight="1" x14ac:dyDescent="0.2">
      <c r="A52" s="215" t="s">
        <v>223</v>
      </c>
      <c r="B52" s="201" t="s">
        <v>228</v>
      </c>
      <c r="C52" s="265"/>
    </row>
    <row r="53" spans="1:3" s="50" customFormat="1" ht="12" customHeight="1" x14ac:dyDescent="0.2">
      <c r="A53" s="215" t="s">
        <v>224</v>
      </c>
      <c r="B53" s="201" t="s">
        <v>229</v>
      </c>
      <c r="C53" s="265"/>
    </row>
    <row r="54" spans="1:3" s="50" customFormat="1" ht="12" customHeight="1" thickBot="1" x14ac:dyDescent="0.25">
      <c r="A54" s="216" t="s">
        <v>225</v>
      </c>
      <c r="B54" s="202" t="s">
        <v>230</v>
      </c>
      <c r="C54" s="269"/>
    </row>
    <row r="55" spans="1:3" s="50" customFormat="1" ht="12" customHeight="1" thickBot="1" x14ac:dyDescent="0.25">
      <c r="A55" s="28" t="s">
        <v>141</v>
      </c>
      <c r="B55" s="19" t="s">
        <v>231</v>
      </c>
      <c r="C55" s="281">
        <f>SUM(C56:C58)</f>
        <v>1232700</v>
      </c>
    </row>
    <row r="56" spans="1:3" s="50" customFormat="1" ht="12" customHeight="1" x14ac:dyDescent="0.2">
      <c r="A56" s="214" t="s">
        <v>93</v>
      </c>
      <c r="B56" s="200" t="s">
        <v>232</v>
      </c>
      <c r="C56" s="283"/>
    </row>
    <row r="57" spans="1:3" s="50" customFormat="1" ht="12" customHeight="1" x14ac:dyDescent="0.2">
      <c r="A57" s="215" t="s">
        <v>94</v>
      </c>
      <c r="B57" s="201" t="s">
        <v>363</v>
      </c>
      <c r="C57" s="265">
        <f>480000</f>
        <v>480000</v>
      </c>
    </row>
    <row r="58" spans="1:3" s="50" customFormat="1" ht="12" customHeight="1" x14ac:dyDescent="0.2">
      <c r="A58" s="215" t="s">
        <v>235</v>
      </c>
      <c r="B58" s="201" t="s">
        <v>233</v>
      </c>
      <c r="C58" s="265">
        <v>752700</v>
      </c>
    </row>
    <row r="59" spans="1:3" s="50" customFormat="1" ht="12" customHeight="1" thickBot="1" x14ac:dyDescent="0.25">
      <c r="A59" s="216" t="s">
        <v>236</v>
      </c>
      <c r="B59" s="202" t="s">
        <v>234</v>
      </c>
      <c r="C59" s="112"/>
    </row>
    <row r="60" spans="1:3" s="50" customFormat="1" ht="12" customHeight="1" thickBot="1" x14ac:dyDescent="0.25">
      <c r="A60" s="28" t="s">
        <v>26</v>
      </c>
      <c r="B60" s="117" t="s">
        <v>237</v>
      </c>
      <c r="C60" s="281">
        <f>SUM(C61:C63)</f>
        <v>0</v>
      </c>
    </row>
    <row r="61" spans="1:3" s="50" customFormat="1" ht="12" customHeight="1" x14ac:dyDescent="0.2">
      <c r="A61" s="214" t="s">
        <v>142</v>
      </c>
      <c r="B61" s="200" t="s">
        <v>239</v>
      </c>
      <c r="C61" s="265"/>
    </row>
    <row r="62" spans="1:3" s="50" customFormat="1" ht="12" customHeight="1" x14ac:dyDescent="0.2">
      <c r="A62" s="215" t="s">
        <v>143</v>
      </c>
      <c r="B62" s="201" t="s">
        <v>364</v>
      </c>
      <c r="C62" s="265"/>
    </row>
    <row r="63" spans="1:3" s="50" customFormat="1" ht="12" customHeight="1" x14ac:dyDescent="0.2">
      <c r="A63" s="215" t="s">
        <v>164</v>
      </c>
      <c r="B63" s="201" t="s">
        <v>240</v>
      </c>
      <c r="C63" s="265"/>
    </row>
    <row r="64" spans="1:3" s="50" customFormat="1" ht="12" customHeight="1" thickBot="1" x14ac:dyDescent="0.25">
      <c r="A64" s="216" t="s">
        <v>238</v>
      </c>
      <c r="B64" s="202" t="s">
        <v>241</v>
      </c>
      <c r="C64" s="265"/>
    </row>
    <row r="65" spans="1:3" s="50" customFormat="1" ht="12" customHeight="1" thickBot="1" x14ac:dyDescent="0.25">
      <c r="A65" s="28" t="s">
        <v>27</v>
      </c>
      <c r="B65" s="19" t="s">
        <v>242</v>
      </c>
      <c r="C65" s="284">
        <f>+C8+C15+C22+C29+C37+C49+C55+C60</f>
        <v>400520978</v>
      </c>
    </row>
    <row r="66" spans="1:3" s="50" customFormat="1" ht="12" customHeight="1" thickBot="1" x14ac:dyDescent="0.2">
      <c r="A66" s="217" t="s">
        <v>332</v>
      </c>
      <c r="B66" s="117" t="s">
        <v>244</v>
      </c>
      <c r="C66" s="281">
        <f>SUM(C67:C69)</f>
        <v>0</v>
      </c>
    </row>
    <row r="67" spans="1:3" s="50" customFormat="1" ht="12" customHeight="1" x14ac:dyDescent="0.2">
      <c r="A67" s="214" t="s">
        <v>275</v>
      </c>
      <c r="B67" s="200" t="s">
        <v>245</v>
      </c>
      <c r="C67" s="265"/>
    </row>
    <row r="68" spans="1:3" s="50" customFormat="1" ht="12" customHeight="1" x14ac:dyDescent="0.2">
      <c r="A68" s="215" t="s">
        <v>284</v>
      </c>
      <c r="B68" s="201" t="s">
        <v>246</v>
      </c>
      <c r="C68" s="265"/>
    </row>
    <row r="69" spans="1:3" s="50" customFormat="1" ht="12" customHeight="1" thickBot="1" x14ac:dyDescent="0.25">
      <c r="A69" s="216" t="s">
        <v>285</v>
      </c>
      <c r="B69" s="203" t="s">
        <v>247</v>
      </c>
      <c r="C69" s="265"/>
    </row>
    <row r="70" spans="1:3" s="50" customFormat="1" ht="12" customHeight="1" thickBot="1" x14ac:dyDescent="0.2">
      <c r="A70" s="217" t="s">
        <v>248</v>
      </c>
      <c r="B70" s="117" t="s">
        <v>249</v>
      </c>
      <c r="C70" s="281">
        <f>SUM(C71:C74)</f>
        <v>0</v>
      </c>
    </row>
    <row r="71" spans="1:3" s="50" customFormat="1" ht="12" customHeight="1" x14ac:dyDescent="0.2">
      <c r="A71" s="214" t="s">
        <v>122</v>
      </c>
      <c r="B71" s="200" t="s">
        <v>250</v>
      </c>
      <c r="C71" s="265"/>
    </row>
    <row r="72" spans="1:3" s="50" customFormat="1" ht="12" customHeight="1" x14ac:dyDescent="0.2">
      <c r="A72" s="215" t="s">
        <v>123</v>
      </c>
      <c r="B72" s="201" t="s">
        <v>251</v>
      </c>
      <c r="C72" s="265"/>
    </row>
    <row r="73" spans="1:3" s="50" customFormat="1" ht="12" customHeight="1" x14ac:dyDescent="0.2">
      <c r="A73" s="215" t="s">
        <v>276</v>
      </c>
      <c r="B73" s="201" t="s">
        <v>252</v>
      </c>
      <c r="C73" s="265"/>
    </row>
    <row r="74" spans="1:3" s="50" customFormat="1" ht="12" customHeight="1" thickBot="1" x14ac:dyDescent="0.25">
      <c r="A74" s="216" t="s">
        <v>277</v>
      </c>
      <c r="B74" s="202" t="s">
        <v>253</v>
      </c>
      <c r="C74" s="265"/>
    </row>
    <row r="75" spans="1:3" s="50" customFormat="1" ht="12" customHeight="1" thickBot="1" x14ac:dyDescent="0.2">
      <c r="A75" s="217" t="s">
        <v>254</v>
      </c>
      <c r="B75" s="117" t="s">
        <v>255</v>
      </c>
      <c r="C75" s="281">
        <f>SUM(C76:C77)</f>
        <v>0</v>
      </c>
    </row>
    <row r="76" spans="1:3" s="50" customFormat="1" ht="12" customHeight="1" x14ac:dyDescent="0.2">
      <c r="A76" s="214" t="s">
        <v>278</v>
      </c>
      <c r="B76" s="200" t="s">
        <v>256</v>
      </c>
      <c r="C76" s="265"/>
    </row>
    <row r="77" spans="1:3" s="50" customFormat="1" ht="12" customHeight="1" thickBot="1" x14ac:dyDescent="0.25">
      <c r="A77" s="216" t="s">
        <v>279</v>
      </c>
      <c r="B77" s="202" t="s">
        <v>257</v>
      </c>
      <c r="C77" s="265"/>
    </row>
    <row r="78" spans="1:3" s="49" customFormat="1" ht="12" customHeight="1" thickBot="1" x14ac:dyDescent="0.2">
      <c r="A78" s="217" t="s">
        <v>258</v>
      </c>
      <c r="B78" s="117" t="s">
        <v>259</v>
      </c>
      <c r="C78" s="281">
        <f>SUM(C79:C81)</f>
        <v>0</v>
      </c>
    </row>
    <row r="79" spans="1:3" s="50" customFormat="1" ht="12" customHeight="1" x14ac:dyDescent="0.2">
      <c r="A79" s="214" t="s">
        <v>280</v>
      </c>
      <c r="B79" s="200" t="s">
        <v>260</v>
      </c>
      <c r="C79" s="265"/>
    </row>
    <row r="80" spans="1:3" s="50" customFormat="1" ht="12" customHeight="1" x14ac:dyDescent="0.2">
      <c r="A80" s="215" t="s">
        <v>281</v>
      </c>
      <c r="B80" s="201" t="s">
        <v>261</v>
      </c>
      <c r="C80" s="265"/>
    </row>
    <row r="81" spans="1:3" s="50" customFormat="1" ht="12" customHeight="1" thickBot="1" x14ac:dyDescent="0.25">
      <c r="A81" s="216" t="s">
        <v>282</v>
      </c>
      <c r="B81" s="202" t="s">
        <v>262</v>
      </c>
      <c r="C81" s="265"/>
    </row>
    <row r="82" spans="1:3" s="50" customFormat="1" ht="12" customHeight="1" thickBot="1" x14ac:dyDescent="0.2">
      <c r="A82" s="217" t="s">
        <v>263</v>
      </c>
      <c r="B82" s="117" t="s">
        <v>283</v>
      </c>
      <c r="C82" s="281">
        <f>SUM(C83:C86)</f>
        <v>0</v>
      </c>
    </row>
    <row r="83" spans="1:3" s="50" customFormat="1" ht="12" customHeight="1" x14ac:dyDescent="0.2">
      <c r="A83" s="218" t="s">
        <v>264</v>
      </c>
      <c r="B83" s="200" t="s">
        <v>265</v>
      </c>
      <c r="C83" s="265"/>
    </row>
    <row r="84" spans="1:3" s="50" customFormat="1" ht="12" customHeight="1" x14ac:dyDescent="0.2">
      <c r="A84" s="219" t="s">
        <v>266</v>
      </c>
      <c r="B84" s="201" t="s">
        <v>267</v>
      </c>
      <c r="C84" s="265"/>
    </row>
    <row r="85" spans="1:3" s="50" customFormat="1" ht="12" customHeight="1" x14ac:dyDescent="0.2">
      <c r="A85" s="219" t="s">
        <v>268</v>
      </c>
      <c r="B85" s="201" t="s">
        <v>269</v>
      </c>
      <c r="C85" s="265"/>
    </row>
    <row r="86" spans="1:3" s="49" customFormat="1" ht="12" customHeight="1" thickBot="1" x14ac:dyDescent="0.25">
      <c r="A86" s="220" t="s">
        <v>270</v>
      </c>
      <c r="B86" s="202" t="s">
        <v>271</v>
      </c>
      <c r="C86" s="265"/>
    </row>
    <row r="87" spans="1:3" s="49" customFormat="1" ht="12" customHeight="1" thickBot="1" x14ac:dyDescent="0.2">
      <c r="A87" s="217" t="s">
        <v>272</v>
      </c>
      <c r="B87" s="117" t="s">
        <v>453</v>
      </c>
      <c r="C87" s="286"/>
    </row>
    <row r="88" spans="1:3" s="49" customFormat="1" ht="12" customHeight="1" thickBot="1" x14ac:dyDescent="0.2">
      <c r="A88" s="217" t="s">
        <v>505</v>
      </c>
      <c r="B88" s="117" t="s">
        <v>273</v>
      </c>
      <c r="C88" s="286"/>
    </row>
    <row r="89" spans="1:3" s="49" customFormat="1" ht="12" customHeight="1" thickBot="1" x14ac:dyDescent="0.2">
      <c r="A89" s="217" t="s">
        <v>506</v>
      </c>
      <c r="B89" s="207" t="s">
        <v>454</v>
      </c>
      <c r="C89" s="284">
        <f>+C66+C70+C75+C78+C82+C88+C87</f>
        <v>0</v>
      </c>
    </row>
    <row r="90" spans="1:3" s="49" customFormat="1" ht="12" customHeight="1" thickBot="1" x14ac:dyDescent="0.2">
      <c r="A90" s="221" t="s">
        <v>507</v>
      </c>
      <c r="B90" s="208" t="s">
        <v>508</v>
      </c>
      <c r="C90" s="284">
        <f>+C65+C89</f>
        <v>400520978</v>
      </c>
    </row>
    <row r="91" spans="1:3" s="50" customFormat="1" ht="15" customHeight="1" thickBot="1" x14ac:dyDescent="0.25">
      <c r="A91" s="98"/>
      <c r="B91" s="99"/>
      <c r="C91" s="176"/>
    </row>
    <row r="92" spans="1:3" s="40" customFormat="1" ht="16.5" customHeight="1" thickBot="1" x14ac:dyDescent="0.25">
      <c r="A92" s="102"/>
      <c r="B92" s="103" t="s">
        <v>58</v>
      </c>
      <c r="C92" s="178"/>
    </row>
    <row r="93" spans="1:3" s="51" customFormat="1" ht="12" customHeight="1" thickBot="1" x14ac:dyDescent="0.25">
      <c r="A93" s="192" t="s">
        <v>19</v>
      </c>
      <c r="B93" s="24" t="s">
        <v>518</v>
      </c>
      <c r="C93" s="289">
        <f>+C94+C95+C96+C97+C98+C111</f>
        <v>96198663</v>
      </c>
    </row>
    <row r="94" spans="1:3" ht="12" customHeight="1" x14ac:dyDescent="0.2">
      <c r="A94" s="222" t="s">
        <v>95</v>
      </c>
      <c r="B94" s="8" t="s">
        <v>49</v>
      </c>
      <c r="C94" s="872">
        <f>2787126+61829+2528076+47565+4715250-215619+60774-2100000</f>
        <v>7885001</v>
      </c>
    </row>
    <row r="95" spans="1:3" ht="12" customHeight="1" x14ac:dyDescent="0.2">
      <c r="A95" s="215" t="s">
        <v>96</v>
      </c>
      <c r="B95" s="6" t="s">
        <v>144</v>
      </c>
      <c r="C95" s="1019">
        <f>1409889+7817+14227+10944+444000+24592+825169-113441+29599-300000</f>
        <v>2352796</v>
      </c>
    </row>
    <row r="96" spans="1:3" ht="12" customHeight="1" x14ac:dyDescent="0.2">
      <c r="A96" s="215" t="s">
        <v>97</v>
      </c>
      <c r="B96" s="468" t="s">
        <v>120</v>
      </c>
      <c r="C96" s="1093">
        <f>4192823+96000+13277327+3082677+45600000+4500000+45669+157480+54851+3760587+259082+437750-72157-64842+104000+341823+140102-90373-700000</f>
        <v>75122799</v>
      </c>
    </row>
    <row r="97" spans="1:3" ht="12" customHeight="1" x14ac:dyDescent="0.2">
      <c r="A97" s="215" t="s">
        <v>98</v>
      </c>
      <c r="B97" s="471" t="s">
        <v>145</v>
      </c>
      <c r="C97" s="189"/>
    </row>
    <row r="98" spans="1:3" ht="12" customHeight="1" x14ac:dyDescent="0.2">
      <c r="A98" s="215" t="s">
        <v>109</v>
      </c>
      <c r="B98" s="17" t="s">
        <v>146</v>
      </c>
      <c r="C98" s="189">
        <f>SUM(C99:C110)</f>
        <v>10838067</v>
      </c>
    </row>
    <row r="99" spans="1:3" ht="12" customHeight="1" x14ac:dyDescent="0.2">
      <c r="A99" s="215" t="s">
        <v>99</v>
      </c>
      <c r="B99" s="468" t="s">
        <v>509</v>
      </c>
      <c r="C99" s="189">
        <v>3200000</v>
      </c>
    </row>
    <row r="100" spans="1:3" ht="12" customHeight="1" x14ac:dyDescent="0.2">
      <c r="A100" s="215" t="s">
        <v>100</v>
      </c>
      <c r="B100" s="478" t="s">
        <v>458</v>
      </c>
      <c r="C100" s="189"/>
    </row>
    <row r="101" spans="1:3" ht="12" customHeight="1" x14ac:dyDescent="0.2">
      <c r="A101" s="215" t="s">
        <v>110</v>
      </c>
      <c r="B101" s="478" t="s">
        <v>459</v>
      </c>
      <c r="C101" s="126"/>
    </row>
    <row r="102" spans="1:3" ht="12" customHeight="1" x14ac:dyDescent="0.2">
      <c r="A102" s="215" t="s">
        <v>111</v>
      </c>
      <c r="B102" s="71" t="s">
        <v>289</v>
      </c>
      <c r="C102" s="269"/>
    </row>
    <row r="103" spans="1:3" ht="12" customHeight="1" x14ac:dyDescent="0.2">
      <c r="A103" s="215" t="s">
        <v>112</v>
      </c>
      <c r="B103" s="72" t="s">
        <v>290</v>
      </c>
      <c r="C103" s="269"/>
    </row>
    <row r="104" spans="1:3" ht="12" customHeight="1" x14ac:dyDescent="0.2">
      <c r="A104" s="215" t="s">
        <v>113</v>
      </c>
      <c r="B104" s="72" t="s">
        <v>291</v>
      </c>
      <c r="C104" s="269"/>
    </row>
    <row r="105" spans="1:3" ht="12" customHeight="1" x14ac:dyDescent="0.2">
      <c r="A105" s="215" t="s">
        <v>115</v>
      </c>
      <c r="B105" s="71" t="s">
        <v>292</v>
      </c>
      <c r="C105" s="269"/>
    </row>
    <row r="106" spans="1:3" ht="12" customHeight="1" x14ac:dyDescent="0.2">
      <c r="A106" s="215" t="s">
        <v>147</v>
      </c>
      <c r="B106" s="71" t="s">
        <v>293</v>
      </c>
      <c r="C106" s="269"/>
    </row>
    <row r="107" spans="1:3" ht="12" customHeight="1" x14ac:dyDescent="0.2">
      <c r="A107" s="215" t="s">
        <v>287</v>
      </c>
      <c r="B107" s="72" t="s">
        <v>294</v>
      </c>
      <c r="C107" s="1005">
        <v>400000</v>
      </c>
    </row>
    <row r="108" spans="1:3" ht="12" customHeight="1" x14ac:dyDescent="0.2">
      <c r="A108" s="223" t="s">
        <v>288</v>
      </c>
      <c r="B108" s="73" t="s">
        <v>295</v>
      </c>
      <c r="C108" s="269"/>
    </row>
    <row r="109" spans="1:3" ht="12" customHeight="1" x14ac:dyDescent="0.2">
      <c r="A109" s="215" t="s">
        <v>460</v>
      </c>
      <c r="B109" s="73" t="s">
        <v>296</v>
      </c>
      <c r="C109" s="269"/>
    </row>
    <row r="110" spans="1:3" ht="12" customHeight="1" x14ac:dyDescent="0.2">
      <c r="A110" s="215" t="s">
        <v>461</v>
      </c>
      <c r="B110" s="72" t="s">
        <v>297</v>
      </c>
      <c r="C110" s="265">
        <f>5000000+800000+50000+50000+1338067</f>
        <v>7238067</v>
      </c>
    </row>
    <row r="111" spans="1:3" ht="12" customHeight="1" x14ac:dyDescent="0.2">
      <c r="A111" s="215" t="s">
        <v>462</v>
      </c>
      <c r="B111" s="9" t="s">
        <v>50</v>
      </c>
      <c r="C111" s="111"/>
    </row>
    <row r="112" spans="1:3" ht="12" customHeight="1" x14ac:dyDescent="0.2">
      <c r="A112" s="216" t="s">
        <v>463</v>
      </c>
      <c r="B112" s="6" t="s">
        <v>510</v>
      </c>
      <c r="C112" s="112"/>
    </row>
    <row r="113" spans="1:4" ht="12" customHeight="1" thickBot="1" x14ac:dyDescent="0.25">
      <c r="A113" s="224" t="s">
        <v>465</v>
      </c>
      <c r="B113" s="74" t="s">
        <v>511</v>
      </c>
      <c r="C113" s="290"/>
    </row>
    <row r="114" spans="1:4" ht="12" customHeight="1" thickBot="1" x14ac:dyDescent="0.25">
      <c r="A114" s="28" t="s">
        <v>20</v>
      </c>
      <c r="B114" s="23" t="s">
        <v>298</v>
      </c>
      <c r="C114" s="281">
        <f>+C115+C117+C119</f>
        <v>12341221</v>
      </c>
    </row>
    <row r="115" spans="1:4" ht="12" customHeight="1" x14ac:dyDescent="0.2">
      <c r="A115" s="214" t="s">
        <v>101</v>
      </c>
      <c r="B115" s="6" t="s">
        <v>163</v>
      </c>
      <c r="C115" s="1006">
        <f>300000+12076323+5000+100000-140102</f>
        <v>12341221</v>
      </c>
    </row>
    <row r="116" spans="1:4" ht="12" customHeight="1" x14ac:dyDescent="0.2">
      <c r="A116" s="214" t="s">
        <v>102</v>
      </c>
      <c r="B116" s="10" t="s">
        <v>302</v>
      </c>
      <c r="C116" s="1006">
        <f>12076323-140102</f>
        <v>11936221</v>
      </c>
    </row>
    <row r="117" spans="1:4" ht="12" customHeight="1" x14ac:dyDescent="0.2">
      <c r="A117" s="214" t="s">
        <v>103</v>
      </c>
      <c r="B117" s="10" t="s">
        <v>148</v>
      </c>
      <c r="C117" s="111"/>
    </row>
    <row r="118" spans="1:4" ht="12" customHeight="1" x14ac:dyDescent="0.2">
      <c r="A118" s="214" t="s">
        <v>104</v>
      </c>
      <c r="B118" s="10" t="s">
        <v>303</v>
      </c>
      <c r="C118" s="111"/>
    </row>
    <row r="119" spans="1:4" ht="12" customHeight="1" x14ac:dyDescent="0.2">
      <c r="A119" s="214" t="s">
        <v>105</v>
      </c>
      <c r="B119" s="119" t="s">
        <v>165</v>
      </c>
      <c r="C119" s="270"/>
    </row>
    <row r="120" spans="1:4" ht="12" customHeight="1" x14ac:dyDescent="0.2">
      <c r="A120" s="214" t="s">
        <v>114</v>
      </c>
      <c r="B120" s="118" t="s">
        <v>365</v>
      </c>
      <c r="C120" s="270"/>
    </row>
    <row r="121" spans="1:4" ht="12" customHeight="1" x14ac:dyDescent="0.2">
      <c r="A121" s="214" t="s">
        <v>116</v>
      </c>
      <c r="B121" s="196" t="s">
        <v>308</v>
      </c>
      <c r="C121" s="270"/>
    </row>
    <row r="122" spans="1:4" ht="12" customHeight="1" x14ac:dyDescent="0.2">
      <c r="A122" s="214" t="s">
        <v>149</v>
      </c>
      <c r="B122" s="72" t="s">
        <v>291</v>
      </c>
      <c r="C122" s="270"/>
    </row>
    <row r="123" spans="1:4" ht="12" customHeight="1" x14ac:dyDescent="0.2">
      <c r="A123" s="214" t="s">
        <v>150</v>
      </c>
      <c r="B123" s="72" t="s">
        <v>307</v>
      </c>
      <c r="C123" s="270"/>
    </row>
    <row r="124" spans="1:4" ht="12" customHeight="1" x14ac:dyDescent="0.2">
      <c r="A124" s="214" t="s">
        <v>151</v>
      </c>
      <c r="B124" s="72" t="s">
        <v>306</v>
      </c>
      <c r="C124" s="270"/>
    </row>
    <row r="125" spans="1:4" ht="12" customHeight="1" x14ac:dyDescent="0.2">
      <c r="A125" s="214" t="s">
        <v>299</v>
      </c>
      <c r="B125" s="72" t="s">
        <v>294</v>
      </c>
      <c r="C125" s="270"/>
      <c r="D125" s="505"/>
    </row>
    <row r="126" spans="1:4" ht="12" customHeight="1" x14ac:dyDescent="0.2">
      <c r="A126" s="214" t="s">
        <v>300</v>
      </c>
      <c r="B126" s="72" t="s">
        <v>305</v>
      </c>
      <c r="C126" s="270"/>
    </row>
    <row r="127" spans="1:4" ht="12" customHeight="1" thickBot="1" x14ac:dyDescent="0.25">
      <c r="A127" s="223" t="s">
        <v>301</v>
      </c>
      <c r="B127" s="72" t="s">
        <v>304</v>
      </c>
      <c r="C127" s="271"/>
    </row>
    <row r="128" spans="1:4" ht="12" customHeight="1" thickBot="1" x14ac:dyDescent="0.25">
      <c r="A128" s="28" t="s">
        <v>21</v>
      </c>
      <c r="B128" s="67" t="s">
        <v>467</v>
      </c>
      <c r="C128" s="281">
        <f>+C93+C114</f>
        <v>108539884</v>
      </c>
    </row>
    <row r="129" spans="1:11" ht="12" customHeight="1" thickBot="1" x14ac:dyDescent="0.25">
      <c r="A129" s="28" t="s">
        <v>22</v>
      </c>
      <c r="B129" s="67" t="s">
        <v>468</v>
      </c>
      <c r="C129" s="281">
        <f>+C130+C131+C132</f>
        <v>5278000</v>
      </c>
    </row>
    <row r="130" spans="1:11" s="51" customFormat="1" ht="12" customHeight="1" x14ac:dyDescent="0.2">
      <c r="A130" s="214" t="s">
        <v>200</v>
      </c>
      <c r="B130" s="7" t="s">
        <v>512</v>
      </c>
      <c r="C130" s="265">
        <f>5278000</f>
        <v>5278000</v>
      </c>
    </row>
    <row r="131" spans="1:11" ht="12" customHeight="1" x14ac:dyDescent="0.2">
      <c r="A131" s="214" t="s">
        <v>203</v>
      </c>
      <c r="B131" s="7" t="s">
        <v>470</v>
      </c>
      <c r="C131" s="111"/>
    </row>
    <row r="132" spans="1:11" ht="12" customHeight="1" thickBot="1" x14ac:dyDescent="0.25">
      <c r="A132" s="223" t="s">
        <v>204</v>
      </c>
      <c r="B132" s="5" t="s">
        <v>513</v>
      </c>
      <c r="C132" s="111"/>
    </row>
    <row r="133" spans="1:11" ht="12" customHeight="1" thickBot="1" x14ac:dyDescent="0.25">
      <c r="A133" s="28" t="s">
        <v>23</v>
      </c>
      <c r="B133" s="67" t="s">
        <v>472</v>
      </c>
      <c r="C133" s="281">
        <f>+C134+C135+C136+C137+C138+C139</f>
        <v>0</v>
      </c>
    </row>
    <row r="134" spans="1:11" ht="12" customHeight="1" x14ac:dyDescent="0.2">
      <c r="A134" s="214" t="s">
        <v>88</v>
      </c>
      <c r="B134" s="7" t="s">
        <v>473</v>
      </c>
      <c r="C134" s="111"/>
    </row>
    <row r="135" spans="1:11" ht="12" customHeight="1" x14ac:dyDescent="0.2">
      <c r="A135" s="214" t="s">
        <v>89</v>
      </c>
      <c r="B135" s="7" t="s">
        <v>474</v>
      </c>
      <c r="C135" s="111"/>
    </row>
    <row r="136" spans="1:11" ht="12" customHeight="1" x14ac:dyDescent="0.2">
      <c r="A136" s="214" t="s">
        <v>90</v>
      </c>
      <c r="B136" s="7" t="s">
        <v>475</v>
      </c>
      <c r="C136" s="111"/>
    </row>
    <row r="137" spans="1:11" ht="12" customHeight="1" x14ac:dyDescent="0.2">
      <c r="A137" s="214" t="s">
        <v>136</v>
      </c>
      <c r="B137" s="7" t="s">
        <v>514</v>
      </c>
      <c r="C137" s="111"/>
    </row>
    <row r="138" spans="1:11" ht="12" customHeight="1" x14ac:dyDescent="0.2">
      <c r="A138" s="214" t="s">
        <v>137</v>
      </c>
      <c r="B138" s="7" t="s">
        <v>477</v>
      </c>
      <c r="C138" s="111"/>
    </row>
    <row r="139" spans="1:11" s="51" customFormat="1" ht="12" customHeight="1" thickBot="1" x14ac:dyDescent="0.25">
      <c r="A139" s="223" t="s">
        <v>138</v>
      </c>
      <c r="B139" s="5" t="s">
        <v>478</v>
      </c>
      <c r="C139" s="111"/>
    </row>
    <row r="140" spans="1:11" ht="12" customHeight="1" thickBot="1" x14ac:dyDescent="0.25">
      <c r="A140" s="28" t="s">
        <v>24</v>
      </c>
      <c r="B140" s="67" t="s">
        <v>515</v>
      </c>
      <c r="C140" s="284">
        <f>+C141+C142+C143+C144</f>
        <v>0</v>
      </c>
      <c r="K140" s="110"/>
    </row>
    <row r="141" spans="1:11" x14ac:dyDescent="0.2">
      <c r="A141" s="214" t="s">
        <v>91</v>
      </c>
      <c r="B141" s="7" t="s">
        <v>309</v>
      </c>
      <c r="C141" s="111"/>
    </row>
    <row r="142" spans="1:11" ht="12" customHeight="1" x14ac:dyDescent="0.2">
      <c r="A142" s="214" t="s">
        <v>92</v>
      </c>
      <c r="B142" s="7" t="s">
        <v>310</v>
      </c>
      <c r="C142" s="111"/>
    </row>
    <row r="143" spans="1:11" s="51" customFormat="1" ht="12" customHeight="1" x14ac:dyDescent="0.2">
      <c r="A143" s="214" t="s">
        <v>223</v>
      </c>
      <c r="B143" s="7" t="s">
        <v>480</v>
      </c>
      <c r="C143" s="111"/>
    </row>
    <row r="144" spans="1:11" s="51" customFormat="1" ht="12" customHeight="1" thickBot="1" x14ac:dyDescent="0.25">
      <c r="A144" s="223" t="s">
        <v>224</v>
      </c>
      <c r="B144" s="5" t="s">
        <v>328</v>
      </c>
      <c r="C144" s="111"/>
    </row>
    <row r="145" spans="1:3" s="51" customFormat="1" ht="12" customHeight="1" thickBot="1" x14ac:dyDescent="0.25">
      <c r="A145" s="28" t="s">
        <v>25</v>
      </c>
      <c r="B145" s="67" t="s">
        <v>481</v>
      </c>
      <c r="C145" s="291">
        <f>+C146+C147+C148+C149+C150</f>
        <v>0</v>
      </c>
    </row>
    <row r="146" spans="1:3" s="51" customFormat="1" ht="12" customHeight="1" x14ac:dyDescent="0.2">
      <c r="A146" s="214" t="s">
        <v>93</v>
      </c>
      <c r="B146" s="7" t="s">
        <v>482</v>
      </c>
      <c r="C146" s="111"/>
    </row>
    <row r="147" spans="1:3" s="51" customFormat="1" ht="12" customHeight="1" x14ac:dyDescent="0.2">
      <c r="A147" s="214" t="s">
        <v>94</v>
      </c>
      <c r="B147" s="7" t="s">
        <v>483</v>
      </c>
      <c r="C147" s="111"/>
    </row>
    <row r="148" spans="1:3" s="51" customFormat="1" ht="12" customHeight="1" x14ac:dyDescent="0.2">
      <c r="A148" s="214" t="s">
        <v>235</v>
      </c>
      <c r="B148" s="7" t="s">
        <v>484</v>
      </c>
      <c r="C148" s="111"/>
    </row>
    <row r="149" spans="1:3" ht="12.75" customHeight="1" x14ac:dyDescent="0.2">
      <c r="A149" s="214" t="s">
        <v>236</v>
      </c>
      <c r="B149" s="7" t="s">
        <v>516</v>
      </c>
      <c r="C149" s="111"/>
    </row>
    <row r="150" spans="1:3" ht="12.75" customHeight="1" thickBot="1" x14ac:dyDescent="0.25">
      <c r="A150" s="223" t="s">
        <v>486</v>
      </c>
      <c r="B150" s="5" t="s">
        <v>487</v>
      </c>
      <c r="C150" s="112"/>
    </row>
    <row r="151" spans="1:3" ht="12.75" customHeight="1" thickBot="1" x14ac:dyDescent="0.25">
      <c r="A151" s="261" t="s">
        <v>26</v>
      </c>
      <c r="B151" s="67" t="s">
        <v>488</v>
      </c>
      <c r="C151" s="291"/>
    </row>
    <row r="152" spans="1:3" ht="12" customHeight="1" thickBot="1" x14ac:dyDescent="0.25">
      <c r="A152" s="261" t="s">
        <v>27</v>
      </c>
      <c r="B152" s="67" t="s">
        <v>489</v>
      </c>
      <c r="C152" s="291"/>
    </row>
    <row r="153" spans="1:3" ht="15" customHeight="1" thickBot="1" x14ac:dyDescent="0.25">
      <c r="A153" s="28" t="s">
        <v>28</v>
      </c>
      <c r="B153" s="67" t="s">
        <v>490</v>
      </c>
      <c r="C153" s="292">
        <f>+C129+C133+C140+C145+C151+C152</f>
        <v>5278000</v>
      </c>
    </row>
    <row r="154" spans="1:3" ht="13.5" thickBot="1" x14ac:dyDescent="0.25">
      <c r="A154" s="225" t="s">
        <v>29</v>
      </c>
      <c r="B154" s="185" t="s">
        <v>491</v>
      </c>
      <c r="C154" s="292">
        <f>+C128+C153</f>
        <v>113817884</v>
      </c>
    </row>
    <row r="155" spans="1:3" ht="15" customHeight="1" thickBot="1" x14ac:dyDescent="0.25"/>
    <row r="156" spans="1:3" ht="14.25" customHeight="1" thickBot="1" x14ac:dyDescent="0.25">
      <c r="A156" s="107" t="s">
        <v>517</v>
      </c>
      <c r="B156" s="108"/>
      <c r="C156" s="874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4/2020.(II.28.)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view="pageLayout" zoomScaleNormal="115" zoomScaleSheetLayoutView="100" workbookViewId="0">
      <selection activeCell="D1" sqref="D1:E1048576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12.6640625" style="374" customWidth="1"/>
    <col min="4" max="4" width="10" style="403" hidden="1" customWidth="1"/>
    <col min="5" max="5" width="10.5" style="403" hidden="1" customWidth="1"/>
    <col min="6" max="9" width="9.33203125" style="541" customWidth="1"/>
    <col min="10" max="19" width="9.33203125" style="541"/>
    <col min="20" max="16384" width="9.33203125" style="106"/>
  </cols>
  <sheetData>
    <row r="1" spans="1:19" s="85" customFormat="1" ht="21" customHeight="1" thickBot="1" x14ac:dyDescent="0.25">
      <c r="A1" s="84"/>
      <c r="B1" s="86"/>
      <c r="C1" s="232"/>
      <c r="D1" s="403"/>
      <c r="E1" s="403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</row>
    <row r="2" spans="1:19" s="233" customFormat="1" ht="36" customHeight="1" x14ac:dyDescent="0.2">
      <c r="A2" s="190" t="s">
        <v>158</v>
      </c>
      <c r="B2" s="167" t="s">
        <v>441</v>
      </c>
      <c r="C2" s="181" t="s">
        <v>61</v>
      </c>
      <c r="D2" s="404"/>
      <c r="E2" s="404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</row>
    <row r="3" spans="1:19" s="233" customFormat="1" ht="24.75" thickBot="1" x14ac:dyDescent="0.25">
      <c r="A3" s="226" t="s">
        <v>157</v>
      </c>
      <c r="B3" s="168" t="s">
        <v>336</v>
      </c>
      <c r="C3" s="182" t="s">
        <v>54</v>
      </c>
      <c r="D3" s="404"/>
      <c r="E3" s="404"/>
      <c r="F3" s="538"/>
      <c r="G3" s="538"/>
      <c r="H3" s="538"/>
      <c r="I3" s="539"/>
      <c r="J3" s="538"/>
      <c r="K3" s="538"/>
      <c r="L3" s="538"/>
      <c r="M3" s="538"/>
      <c r="N3" s="538"/>
      <c r="O3" s="538"/>
      <c r="P3" s="538"/>
      <c r="Q3" s="538"/>
      <c r="R3" s="538"/>
      <c r="S3" s="538"/>
    </row>
    <row r="4" spans="1:19" s="234" customFormat="1" ht="15.95" customHeight="1" thickBot="1" x14ac:dyDescent="0.3">
      <c r="A4" s="88"/>
      <c r="B4" s="88"/>
      <c r="C4" s="89" t="s">
        <v>553</v>
      </c>
      <c r="D4" s="404"/>
      <c r="E4" s="404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</row>
    <row r="5" spans="1:19" ht="13.5" thickBot="1" x14ac:dyDescent="0.25">
      <c r="A5" s="191" t="s">
        <v>159</v>
      </c>
      <c r="B5" s="90" t="s">
        <v>55</v>
      </c>
      <c r="C5" s="91" t="s">
        <v>56</v>
      </c>
    </row>
    <row r="6" spans="1:19" s="235" customFormat="1" ht="12.95" customHeight="1" thickBot="1" x14ac:dyDescent="0.25">
      <c r="A6" s="77" t="s">
        <v>443</v>
      </c>
      <c r="B6" s="78" t="s">
        <v>444</v>
      </c>
      <c r="C6" s="79" t="s">
        <v>445</v>
      </c>
      <c r="D6" s="405"/>
      <c r="E6" s="405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</row>
    <row r="7" spans="1:19" s="235" customFormat="1" ht="15.95" customHeight="1" thickBot="1" x14ac:dyDescent="0.25">
      <c r="A7" s="92"/>
      <c r="B7" s="93" t="s">
        <v>57</v>
      </c>
      <c r="C7" s="94"/>
      <c r="D7" s="405"/>
      <c r="E7" s="405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</row>
    <row r="8" spans="1:19" s="183" customFormat="1" ht="12" customHeight="1" thickBot="1" x14ac:dyDescent="0.25">
      <c r="A8" s="77" t="s">
        <v>19</v>
      </c>
      <c r="B8" s="95" t="s">
        <v>519</v>
      </c>
      <c r="C8" s="136">
        <f>SUM(C9:C19)</f>
        <v>8318710</v>
      </c>
      <c r="D8" s="406" t="e">
        <f>#REF!+#REF!+'9.2.3. sz. mell.'!C8</f>
        <v>#REF!</v>
      </c>
      <c r="E8" s="543" t="e">
        <f t="shared" ref="E8:E42" si="0">C8-D8</f>
        <v>#REF!</v>
      </c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</row>
    <row r="9" spans="1:19" s="183" customFormat="1" ht="12" customHeight="1" x14ac:dyDescent="0.2">
      <c r="A9" s="227" t="s">
        <v>95</v>
      </c>
      <c r="B9" s="8" t="s">
        <v>212</v>
      </c>
      <c r="C9" s="172"/>
      <c r="D9" s="406" t="e">
        <f>#REF!+#REF!+'9.2.3. sz. mell.'!C9</f>
        <v>#REF!</v>
      </c>
      <c r="E9" s="543" t="e">
        <f t="shared" si="0"/>
        <v>#REF!</v>
      </c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</row>
    <row r="10" spans="1:19" s="183" customFormat="1" ht="12" customHeight="1" x14ac:dyDescent="0.2">
      <c r="A10" s="228" t="s">
        <v>96</v>
      </c>
      <c r="B10" s="6" t="s">
        <v>213</v>
      </c>
      <c r="C10" s="44">
        <f>4000000+1241400+372638</f>
        <v>5614038</v>
      </c>
      <c r="D10" s="406" t="e">
        <f>#REF!+#REF!+'9.2.3. sz. mell.'!C10</f>
        <v>#REF!</v>
      </c>
      <c r="E10" s="543" t="e">
        <f t="shared" si="0"/>
        <v>#REF!</v>
      </c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</row>
    <row r="11" spans="1:19" s="183" customFormat="1" ht="12" customHeight="1" x14ac:dyDescent="0.2">
      <c r="A11" s="228" t="s">
        <v>97</v>
      </c>
      <c r="B11" s="6" t="s">
        <v>214</v>
      </c>
      <c r="C11" s="1003">
        <f>300000+54419+77772</f>
        <v>432191</v>
      </c>
      <c r="D11" s="406" t="e">
        <f>#REF!+#REF!+'9.2.3. sz. mell.'!C11</f>
        <v>#REF!</v>
      </c>
      <c r="E11" s="543" t="e">
        <f t="shared" si="0"/>
        <v>#REF!</v>
      </c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</row>
    <row r="12" spans="1:19" s="183" customFormat="1" ht="12" customHeight="1" x14ac:dyDescent="0.2">
      <c r="A12" s="228" t="s">
        <v>98</v>
      </c>
      <c r="B12" s="6" t="s">
        <v>215</v>
      </c>
      <c r="C12" s="1003"/>
      <c r="D12" s="406" t="e">
        <f>#REF!+#REF!+'9.2.3. sz. mell.'!C12</f>
        <v>#REF!</v>
      </c>
      <c r="E12" s="543" t="e">
        <f t="shared" si="0"/>
        <v>#REF!</v>
      </c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</row>
    <row r="13" spans="1:19" s="183" customFormat="1" ht="12" customHeight="1" x14ac:dyDescent="0.2">
      <c r="A13" s="228" t="s">
        <v>121</v>
      </c>
      <c r="B13" s="6" t="s">
        <v>216</v>
      </c>
      <c r="C13" s="1003"/>
      <c r="D13" s="406" t="e">
        <f>#REF!+#REF!+'9.2.3. sz. mell.'!C13</f>
        <v>#REF!</v>
      </c>
      <c r="E13" s="543" t="e">
        <f t="shared" si="0"/>
        <v>#REF!</v>
      </c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</row>
    <row r="14" spans="1:19" s="183" customFormat="1" ht="12" customHeight="1" x14ac:dyDescent="0.2">
      <c r="A14" s="228" t="s">
        <v>99</v>
      </c>
      <c r="B14" s="6" t="s">
        <v>337</v>
      </c>
      <c r="C14" s="1003">
        <f>1161000+335178+100612+14693+20998</f>
        <v>1632481</v>
      </c>
      <c r="D14" s="406" t="e">
        <f>#REF!+#REF!+'9.2.3. sz. mell.'!C14</f>
        <v>#REF!</v>
      </c>
      <c r="E14" s="543" t="e">
        <f t="shared" si="0"/>
        <v>#REF!</v>
      </c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</row>
    <row r="15" spans="1:19" s="183" customFormat="1" ht="12" customHeight="1" x14ac:dyDescent="0.2">
      <c r="A15" s="228" t="s">
        <v>100</v>
      </c>
      <c r="B15" s="5" t="s">
        <v>338</v>
      </c>
      <c r="C15" s="1003"/>
      <c r="D15" s="406" t="e">
        <f>#REF!+#REF!+'9.2.3. sz. mell.'!C15</f>
        <v>#REF!</v>
      </c>
      <c r="E15" s="543" t="e">
        <f t="shared" si="0"/>
        <v>#REF!</v>
      </c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</row>
    <row r="16" spans="1:19" s="183" customFormat="1" ht="12" customHeight="1" x14ac:dyDescent="0.2">
      <c r="A16" s="228" t="s">
        <v>110</v>
      </c>
      <c r="B16" s="6" t="s">
        <v>219</v>
      </c>
      <c r="C16" s="137"/>
      <c r="D16" s="406" t="e">
        <f>#REF!+#REF!+'9.2.3. sz. mell.'!C16</f>
        <v>#REF!</v>
      </c>
      <c r="E16" s="543" t="e">
        <f t="shared" si="0"/>
        <v>#REF!</v>
      </c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</row>
    <row r="17" spans="1:19" s="236" customFormat="1" ht="12" customHeight="1" x14ac:dyDescent="0.2">
      <c r="A17" s="228" t="s">
        <v>111</v>
      </c>
      <c r="B17" s="6" t="s">
        <v>220</v>
      </c>
      <c r="C17" s="44"/>
      <c r="D17" s="406" t="e">
        <f>#REF!+#REF!+'9.2.3. sz. mell.'!C17</f>
        <v>#REF!</v>
      </c>
      <c r="E17" s="543" t="e">
        <f t="shared" si="0"/>
        <v>#REF!</v>
      </c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</row>
    <row r="18" spans="1:19" s="236" customFormat="1" ht="12" customHeight="1" x14ac:dyDescent="0.2">
      <c r="A18" s="228" t="s">
        <v>112</v>
      </c>
      <c r="B18" s="6" t="s">
        <v>449</v>
      </c>
      <c r="C18" s="486"/>
      <c r="D18" s="406" t="e">
        <f>#REF!+#REF!+'9.2.3. sz. mell.'!C18</f>
        <v>#REF!</v>
      </c>
      <c r="E18" s="543" t="e">
        <f t="shared" si="0"/>
        <v>#REF!</v>
      </c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</row>
    <row r="19" spans="1:19" s="236" customFormat="1" ht="12" customHeight="1" thickBot="1" x14ac:dyDescent="0.25">
      <c r="A19" s="228" t="s">
        <v>113</v>
      </c>
      <c r="B19" s="5" t="s">
        <v>221</v>
      </c>
      <c r="C19" s="486">
        <f>640000</f>
        <v>640000</v>
      </c>
      <c r="D19" s="406" t="e">
        <f>#REF!+#REF!+'9.2.3. sz. mell.'!C19</f>
        <v>#REF!</v>
      </c>
      <c r="E19" s="543" t="e">
        <f t="shared" si="0"/>
        <v>#REF!</v>
      </c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</row>
    <row r="20" spans="1:19" s="183" customFormat="1" ht="12" customHeight="1" thickBot="1" x14ac:dyDescent="0.25">
      <c r="A20" s="77" t="s">
        <v>20</v>
      </c>
      <c r="B20" s="95" t="s">
        <v>339</v>
      </c>
      <c r="C20" s="136">
        <f>SUM(C21:C23)</f>
        <v>6308090</v>
      </c>
      <c r="D20" s="406" t="e">
        <f>#REF!+#REF!+'9.2.3. sz. mell.'!C20</f>
        <v>#REF!</v>
      </c>
      <c r="E20" s="543" t="e">
        <f t="shared" si="0"/>
        <v>#REF!</v>
      </c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</row>
    <row r="21" spans="1:19" s="236" customFormat="1" ht="12" customHeight="1" x14ac:dyDescent="0.2">
      <c r="A21" s="228" t="s">
        <v>101</v>
      </c>
      <c r="B21" s="7" t="s">
        <v>190</v>
      </c>
      <c r="C21" s="134"/>
      <c r="D21" s="406" t="e">
        <f>#REF!+#REF!+'9.2.3. sz. mell.'!C21</f>
        <v>#REF!</v>
      </c>
      <c r="E21" s="543" t="e">
        <f t="shared" si="0"/>
        <v>#REF!</v>
      </c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</row>
    <row r="22" spans="1:19" s="236" customFormat="1" ht="12" customHeight="1" x14ac:dyDescent="0.2">
      <c r="A22" s="228" t="s">
        <v>102</v>
      </c>
      <c r="B22" s="6" t="s">
        <v>340</v>
      </c>
      <c r="C22" s="44"/>
      <c r="D22" s="406" t="e">
        <f>#REF!+#REF!+'9.2.3. sz. mell.'!C22</f>
        <v>#REF!</v>
      </c>
      <c r="E22" s="543" t="e">
        <f t="shared" si="0"/>
        <v>#REF!</v>
      </c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</row>
    <row r="23" spans="1:19" s="236" customFormat="1" ht="12" customHeight="1" x14ac:dyDescent="0.2">
      <c r="A23" s="228" t="s">
        <v>103</v>
      </c>
      <c r="B23" s="6" t="s">
        <v>341</v>
      </c>
      <c r="C23" s="1003">
        <f>2885193-99139+3539445+12271-29680</f>
        <v>6308090</v>
      </c>
      <c r="D23" s="406" t="e">
        <f>#REF!+#REF!+'9.2.3. sz. mell.'!C23</f>
        <v>#REF!</v>
      </c>
      <c r="E23" s="543" t="e">
        <f t="shared" si="0"/>
        <v>#REF!</v>
      </c>
      <c r="F23" s="545"/>
      <c r="G23" s="545"/>
      <c r="H23" s="545"/>
      <c r="I23" s="545"/>
      <c r="J23" s="545"/>
      <c r="K23" s="545"/>
      <c r="L23" s="545"/>
      <c r="M23" s="545"/>
      <c r="N23" s="545"/>
      <c r="O23" s="545"/>
      <c r="P23" s="545"/>
      <c r="Q23" s="545"/>
      <c r="R23" s="545"/>
      <c r="S23" s="545"/>
    </row>
    <row r="24" spans="1:19" s="236" customFormat="1" ht="12" customHeight="1" thickBot="1" x14ac:dyDescent="0.25">
      <c r="A24" s="228" t="s">
        <v>104</v>
      </c>
      <c r="B24" s="6" t="s">
        <v>520</v>
      </c>
      <c r="C24" s="44"/>
      <c r="D24" s="406" t="e">
        <f>#REF!+#REF!+'9.2.3. sz. mell.'!C24</f>
        <v>#REF!</v>
      </c>
      <c r="E24" s="543" t="e">
        <f t="shared" si="0"/>
        <v>#REF!</v>
      </c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</row>
    <row r="25" spans="1:19" s="236" customFormat="1" ht="12" customHeight="1" thickBot="1" x14ac:dyDescent="0.25">
      <c r="A25" s="80" t="s">
        <v>21</v>
      </c>
      <c r="B25" s="67" t="s">
        <v>135</v>
      </c>
      <c r="C25" s="157"/>
      <c r="D25" s="406" t="e">
        <f>#REF!+#REF!+'9.2.3. sz. mell.'!C25</f>
        <v>#REF!</v>
      </c>
      <c r="E25" s="543" t="e">
        <f t="shared" si="0"/>
        <v>#REF!</v>
      </c>
      <c r="F25" s="545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</row>
    <row r="26" spans="1:19" s="236" customFormat="1" ht="12" customHeight="1" thickBot="1" x14ac:dyDescent="0.25">
      <c r="A26" s="80" t="s">
        <v>22</v>
      </c>
      <c r="B26" s="67" t="s">
        <v>521</v>
      </c>
      <c r="C26" s="136">
        <f>+C27+C28+C29</f>
        <v>0</v>
      </c>
      <c r="D26" s="406" t="e">
        <f>#REF!+#REF!+'9.2.3. sz. mell.'!C26</f>
        <v>#REF!</v>
      </c>
      <c r="E26" s="543" t="e">
        <f t="shared" si="0"/>
        <v>#REF!</v>
      </c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</row>
    <row r="27" spans="1:19" s="236" customFormat="1" ht="12" customHeight="1" x14ac:dyDescent="0.2">
      <c r="A27" s="229" t="s">
        <v>200</v>
      </c>
      <c r="B27" s="230" t="s">
        <v>195</v>
      </c>
      <c r="C27" s="42"/>
      <c r="D27" s="406" t="e">
        <f>#REF!+#REF!+'9.2.3. sz. mell.'!C27</f>
        <v>#REF!</v>
      </c>
      <c r="E27" s="543" t="e">
        <f t="shared" si="0"/>
        <v>#REF!</v>
      </c>
      <c r="F27" s="545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</row>
    <row r="28" spans="1:19" s="236" customFormat="1" ht="12" customHeight="1" x14ac:dyDescent="0.2">
      <c r="A28" s="229" t="s">
        <v>203</v>
      </c>
      <c r="B28" s="230" t="s">
        <v>340</v>
      </c>
      <c r="C28" s="134"/>
      <c r="D28" s="406" t="e">
        <f>#REF!+#REF!+'9.2.3. sz. mell.'!C28</f>
        <v>#REF!</v>
      </c>
      <c r="E28" s="543" t="e">
        <f t="shared" si="0"/>
        <v>#REF!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</row>
    <row r="29" spans="1:19" s="236" customFormat="1" ht="12" customHeight="1" x14ac:dyDescent="0.2">
      <c r="A29" s="229" t="s">
        <v>204</v>
      </c>
      <c r="B29" s="231" t="s">
        <v>342</v>
      </c>
      <c r="C29" s="134"/>
      <c r="D29" s="406" t="e">
        <f>#REF!+#REF!+'9.2.3. sz. mell.'!C29</f>
        <v>#REF!</v>
      </c>
      <c r="E29" s="543" t="e">
        <f t="shared" si="0"/>
        <v>#REF!</v>
      </c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</row>
    <row r="30" spans="1:19" s="236" customFormat="1" ht="12" customHeight="1" thickBot="1" x14ac:dyDescent="0.25">
      <c r="A30" s="228" t="s">
        <v>205</v>
      </c>
      <c r="B30" s="70" t="s">
        <v>522</v>
      </c>
      <c r="C30" s="45"/>
      <c r="D30" s="406" t="e">
        <f>#REF!+#REF!+'9.2.3. sz. mell.'!C30</f>
        <v>#REF!</v>
      </c>
      <c r="E30" s="543" t="e">
        <f t="shared" si="0"/>
        <v>#REF!</v>
      </c>
      <c r="F30" s="545"/>
      <c r="G30" s="545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5"/>
    </row>
    <row r="31" spans="1:19" s="236" customFormat="1" ht="12" customHeight="1" thickBot="1" x14ac:dyDescent="0.25">
      <c r="A31" s="80" t="s">
        <v>23</v>
      </c>
      <c r="B31" s="67" t="s">
        <v>343</v>
      </c>
      <c r="C31" s="136">
        <f>+C32+C33+C34</f>
        <v>300000</v>
      </c>
      <c r="D31" s="406" t="e">
        <f>#REF!+#REF!+'9.2.3. sz. mell.'!C31</f>
        <v>#REF!</v>
      </c>
      <c r="E31" s="543" t="e">
        <f t="shared" si="0"/>
        <v>#REF!</v>
      </c>
      <c r="F31" s="545"/>
      <c r="G31" s="545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5"/>
    </row>
    <row r="32" spans="1:19" s="236" customFormat="1" ht="12" customHeight="1" x14ac:dyDescent="0.2">
      <c r="A32" s="229" t="s">
        <v>88</v>
      </c>
      <c r="B32" s="230" t="s">
        <v>226</v>
      </c>
      <c r="C32" s="42"/>
      <c r="D32" s="406" t="e">
        <f>#REF!+#REF!+'9.2.3. sz. mell.'!C32</f>
        <v>#REF!</v>
      </c>
      <c r="E32" s="543" t="e">
        <f t="shared" si="0"/>
        <v>#REF!</v>
      </c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</row>
    <row r="33" spans="1:19" s="236" customFormat="1" ht="12" customHeight="1" x14ac:dyDescent="0.2">
      <c r="A33" s="229" t="s">
        <v>89</v>
      </c>
      <c r="B33" s="231" t="s">
        <v>227</v>
      </c>
      <c r="C33" s="137"/>
      <c r="D33" s="406" t="e">
        <f>#REF!+#REF!+'9.2.3. sz. mell.'!C33</f>
        <v>#REF!</v>
      </c>
      <c r="E33" s="543" t="e">
        <f t="shared" si="0"/>
        <v>#REF!</v>
      </c>
      <c r="F33" s="545"/>
      <c r="G33" s="545"/>
      <c r="H33" s="545"/>
      <c r="I33" s="545"/>
      <c r="J33" s="545"/>
      <c r="K33" s="545"/>
      <c r="L33" s="545"/>
      <c r="M33" s="545"/>
      <c r="N33" s="545"/>
      <c r="O33" s="545"/>
      <c r="P33" s="545"/>
      <c r="Q33" s="545"/>
      <c r="R33" s="545"/>
      <c r="S33" s="545"/>
    </row>
    <row r="34" spans="1:19" s="236" customFormat="1" ht="12" customHeight="1" thickBot="1" x14ac:dyDescent="0.25">
      <c r="A34" s="228" t="s">
        <v>90</v>
      </c>
      <c r="B34" s="70" t="s">
        <v>228</v>
      </c>
      <c r="C34" s="45">
        <f>300000</f>
        <v>300000</v>
      </c>
      <c r="D34" s="406" t="e">
        <f>#REF!+#REF!+'9.2.3. sz. mell.'!C34</f>
        <v>#REF!</v>
      </c>
      <c r="E34" s="543" t="e">
        <f t="shared" si="0"/>
        <v>#REF!</v>
      </c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</row>
    <row r="35" spans="1:19" s="183" customFormat="1" ht="12" customHeight="1" thickBot="1" x14ac:dyDescent="0.25">
      <c r="A35" s="80" t="s">
        <v>24</v>
      </c>
      <c r="B35" s="67" t="s">
        <v>314</v>
      </c>
      <c r="C35" s="157"/>
      <c r="D35" s="406" t="e">
        <f>#REF!+#REF!+'9.2.3. sz. mell.'!C35</f>
        <v>#REF!</v>
      </c>
      <c r="E35" s="543" t="e">
        <f t="shared" si="0"/>
        <v>#REF!</v>
      </c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</row>
    <row r="36" spans="1:19" s="183" customFormat="1" ht="12" customHeight="1" thickBot="1" x14ac:dyDescent="0.25">
      <c r="A36" s="80" t="s">
        <v>25</v>
      </c>
      <c r="B36" s="67" t="s">
        <v>344</v>
      </c>
      <c r="C36" s="174"/>
      <c r="D36" s="406" t="e">
        <f>#REF!+#REF!+'9.2.3. sz. mell.'!C36</f>
        <v>#REF!</v>
      </c>
      <c r="E36" s="543" t="e">
        <f t="shared" si="0"/>
        <v>#REF!</v>
      </c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</row>
    <row r="37" spans="1:19" s="183" customFormat="1" ht="12" customHeight="1" thickBot="1" x14ac:dyDescent="0.25">
      <c r="A37" s="77" t="s">
        <v>26</v>
      </c>
      <c r="B37" s="67" t="s">
        <v>345</v>
      </c>
      <c r="C37" s="175">
        <f>+C8+C20+C25+C26+C31+C35+C36</f>
        <v>14926800</v>
      </c>
      <c r="D37" s="406" t="e">
        <f>#REF!+#REF!+'9.2.3. sz. mell.'!C37</f>
        <v>#REF!</v>
      </c>
      <c r="E37" s="543" t="e">
        <f t="shared" si="0"/>
        <v>#REF!</v>
      </c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</row>
    <row r="38" spans="1:19" s="183" customFormat="1" ht="12" customHeight="1" thickBot="1" x14ac:dyDescent="0.25">
      <c r="A38" s="96" t="s">
        <v>27</v>
      </c>
      <c r="B38" s="67" t="s">
        <v>346</v>
      </c>
      <c r="C38" s="175">
        <f>+C39+C40+C41</f>
        <v>199773093</v>
      </c>
      <c r="D38" s="406" t="e">
        <f>#REF!+#REF!+'9.2.3. sz. mell.'!C38</f>
        <v>#REF!</v>
      </c>
      <c r="E38" s="543" t="e">
        <f t="shared" si="0"/>
        <v>#REF!</v>
      </c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</row>
    <row r="39" spans="1:19" s="183" customFormat="1" ht="12" customHeight="1" x14ac:dyDescent="0.2">
      <c r="A39" s="229" t="s">
        <v>347</v>
      </c>
      <c r="B39" s="230" t="s">
        <v>172</v>
      </c>
      <c r="C39" s="42">
        <f>829764+91982</f>
        <v>921746</v>
      </c>
      <c r="D39" s="406" t="e">
        <f>#REF!+#REF!+'9.2.3. sz. mell.'!C39</f>
        <v>#REF!</v>
      </c>
      <c r="E39" s="543" t="e">
        <f t="shared" si="0"/>
        <v>#REF!</v>
      </c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</row>
    <row r="40" spans="1:19" s="183" customFormat="1" ht="12" customHeight="1" x14ac:dyDescent="0.2">
      <c r="A40" s="229" t="s">
        <v>348</v>
      </c>
      <c r="B40" s="231" t="s">
        <v>10</v>
      </c>
      <c r="C40" s="137"/>
      <c r="D40" s="406" t="e">
        <f>#REF!+#REF!+'9.2.3. sz. mell.'!C40</f>
        <v>#REF!</v>
      </c>
      <c r="E40" s="543" t="e">
        <f t="shared" si="0"/>
        <v>#REF!</v>
      </c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</row>
    <row r="41" spans="1:19" s="236" customFormat="1" ht="12" customHeight="1" thickBot="1" x14ac:dyDescent="0.25">
      <c r="A41" s="228" t="s">
        <v>349</v>
      </c>
      <c r="B41" s="70" t="s">
        <v>350</v>
      </c>
      <c r="C41" s="1028">
        <f>217976265-3737524+2126128+3281000-477813+350000+635000+374723+123568-21800000</f>
        <v>198851347</v>
      </c>
      <c r="D41" s="406" t="e">
        <f>#REF!+#REF!+'9.2.3. sz. mell.'!C41</f>
        <v>#REF!</v>
      </c>
      <c r="E41" s="543" t="e">
        <f t="shared" si="0"/>
        <v>#REF!</v>
      </c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</row>
    <row r="42" spans="1:19" s="236" customFormat="1" ht="15" customHeight="1" thickBot="1" x14ac:dyDescent="0.25">
      <c r="A42" s="96" t="s">
        <v>28</v>
      </c>
      <c r="B42" s="97" t="s">
        <v>351</v>
      </c>
      <c r="C42" s="178">
        <f>+C37+C38</f>
        <v>214699893</v>
      </c>
      <c r="D42" s="406" t="e">
        <f>#REF!+#REF!+'9.2.3. sz. mell.'!C42</f>
        <v>#REF!</v>
      </c>
      <c r="E42" s="543" t="e">
        <f t="shared" si="0"/>
        <v>#REF!</v>
      </c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</row>
    <row r="43" spans="1:19" s="236" customFormat="1" ht="15" customHeight="1" x14ac:dyDescent="0.2">
      <c r="A43" s="98"/>
      <c r="B43" s="99"/>
      <c r="C43" s="176"/>
      <c r="D43" s="406" t="e">
        <f>#REF!+#REF!+'9.2.3. sz. mell.'!C43</f>
        <v>#REF!</v>
      </c>
      <c r="E43" s="403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</row>
    <row r="44" spans="1:19" ht="13.5" thickBot="1" x14ac:dyDescent="0.25">
      <c r="A44" s="100"/>
      <c r="B44" s="101"/>
      <c r="C44" s="177"/>
      <c r="D44" s="406" t="e">
        <f>#REF!+#REF!+'9.2.3. sz. mell.'!C44</f>
        <v>#REF!</v>
      </c>
    </row>
    <row r="45" spans="1:19" s="235" customFormat="1" ht="16.5" customHeight="1" thickBot="1" x14ac:dyDescent="0.25">
      <c r="A45" s="102"/>
      <c r="B45" s="103" t="s">
        <v>58</v>
      </c>
      <c r="C45" s="178"/>
      <c r="D45" s="406" t="e">
        <f>#REF!+#REF!+'9.2.3. sz. mell.'!C45</f>
        <v>#REF!</v>
      </c>
      <c r="E45" s="405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</row>
    <row r="46" spans="1:19" s="237" customFormat="1" ht="12" customHeight="1" thickBot="1" x14ac:dyDescent="0.25">
      <c r="A46" s="80" t="s">
        <v>19</v>
      </c>
      <c r="B46" s="67" t="s">
        <v>352</v>
      </c>
      <c r="C46" s="136">
        <f>SUM(C47:C51)</f>
        <v>210704026</v>
      </c>
      <c r="D46" s="406" t="e">
        <f>#REF!+#REF!+'9.2.3. sz. mell.'!C46</f>
        <v>#REF!</v>
      </c>
      <c r="E46" s="543" t="e">
        <f t="shared" ref="E46:E58" si="1">C46-D46</f>
        <v>#REF!</v>
      </c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</row>
    <row r="47" spans="1:19" ht="12" customHeight="1" x14ac:dyDescent="0.2">
      <c r="A47" s="228" t="s">
        <v>95</v>
      </c>
      <c r="B47" s="7" t="s">
        <v>49</v>
      </c>
      <c r="C47" s="1017">
        <f>147375885+935085+4069918+2081772-3199848+20000+77916+1778250+2004872+420282-2000000+297872+2442000+667578+15000+305388-11100000</f>
        <v>146191970</v>
      </c>
      <c r="D47" s="406" t="e">
        <f>#REF!+#REF!+'9.2.3. sz. mell.'!C47</f>
        <v>#REF!</v>
      </c>
      <c r="E47" s="543" t="e">
        <f t="shared" si="1"/>
        <v>#REF!</v>
      </c>
    </row>
    <row r="48" spans="1:19" ht="12" customHeight="1" x14ac:dyDescent="0.2">
      <c r="A48" s="228" t="s">
        <v>96</v>
      </c>
      <c r="B48" s="6" t="s">
        <v>144</v>
      </c>
      <c r="C48" s="1018">
        <f>30406649+133681+815187+436333-561576+3900+15194+346750+8291+350000+931000+81955-350000+52128+461459-667578+5753+65541-2500000</f>
        <v>30034667</v>
      </c>
      <c r="D48" s="406" t="e">
        <f>#REF!+#REF!+'9.2.3. sz. mell.'!C48</f>
        <v>#REF!</v>
      </c>
      <c r="E48" s="543" t="e">
        <f t="shared" si="1"/>
        <v>#REF!</v>
      </c>
    </row>
    <row r="49" spans="1:19" ht="12" customHeight="1" x14ac:dyDescent="0.2">
      <c r="A49" s="228" t="s">
        <v>97</v>
      </c>
      <c r="B49" s="6" t="s">
        <v>120</v>
      </c>
      <c r="C49" s="1018">
        <f>38780508+150000+369027+635000+367088-1792-41398+500000+1270986+12271+13970-178271-7400000</f>
        <v>34477389</v>
      </c>
      <c r="D49" s="406" t="e">
        <f>#REF!+#REF!+'9.2.3. sz. mell.'!C49</f>
        <v>#REF!</v>
      </c>
      <c r="E49" s="543" t="e">
        <f t="shared" si="1"/>
        <v>#REF!</v>
      </c>
    </row>
    <row r="50" spans="1:19" ht="12" customHeight="1" x14ac:dyDescent="0.2">
      <c r="A50" s="228" t="s">
        <v>98</v>
      </c>
      <c r="B50" s="6" t="s">
        <v>145</v>
      </c>
      <c r="C50" s="44"/>
      <c r="D50" s="406" t="e">
        <f>#REF!+#REF!+'9.2.3. sz. mell.'!C50</f>
        <v>#REF!</v>
      </c>
      <c r="E50" s="543" t="e">
        <f t="shared" si="1"/>
        <v>#REF!</v>
      </c>
    </row>
    <row r="51" spans="1:19" ht="12" customHeight="1" thickBot="1" x14ac:dyDescent="0.25">
      <c r="A51" s="228" t="s">
        <v>121</v>
      </c>
      <c r="B51" s="6" t="s">
        <v>146</v>
      </c>
      <c r="C51" s="44"/>
      <c r="D51" s="406" t="e">
        <f>#REF!+#REF!+'9.2.3. sz. mell.'!C51</f>
        <v>#REF!</v>
      </c>
      <c r="E51" s="543" t="e">
        <f t="shared" si="1"/>
        <v>#REF!</v>
      </c>
    </row>
    <row r="52" spans="1:19" ht="12" customHeight="1" thickBot="1" x14ac:dyDescent="0.25">
      <c r="A52" s="80" t="s">
        <v>20</v>
      </c>
      <c r="B52" s="67" t="s">
        <v>353</v>
      </c>
      <c r="C52" s="136">
        <f>SUM(C53:C55)</f>
        <v>3995867</v>
      </c>
      <c r="D52" s="406" t="e">
        <f>#REF!+#REF!+'9.2.3. sz. mell.'!C52</f>
        <v>#REF!</v>
      </c>
      <c r="E52" s="543" t="e">
        <f t="shared" si="1"/>
        <v>#REF!</v>
      </c>
    </row>
    <row r="53" spans="1:19" s="237" customFormat="1" ht="12" customHeight="1" x14ac:dyDescent="0.2">
      <c r="A53" s="228" t="s">
        <v>101</v>
      </c>
      <c r="B53" s="7" t="s">
        <v>163</v>
      </c>
      <c r="C53" s="1017">
        <f>3355917+230000+869950+340000-800000</f>
        <v>3995867</v>
      </c>
      <c r="D53" s="406" t="e">
        <f>#REF!+#REF!+'9.2.3. sz. mell.'!C53</f>
        <v>#REF!</v>
      </c>
      <c r="E53" s="543" t="e">
        <f t="shared" si="1"/>
        <v>#REF!</v>
      </c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/>
      <c r="S53" s="546"/>
    </row>
    <row r="54" spans="1:19" ht="12" customHeight="1" x14ac:dyDescent="0.2">
      <c r="A54" s="228" t="s">
        <v>102</v>
      </c>
      <c r="B54" s="6" t="s">
        <v>148</v>
      </c>
      <c r="C54" s="44"/>
      <c r="D54" s="406" t="e">
        <f>#REF!+#REF!+'9.2.3. sz. mell.'!C54</f>
        <v>#REF!</v>
      </c>
      <c r="E54" s="543" t="e">
        <f t="shared" si="1"/>
        <v>#REF!</v>
      </c>
    </row>
    <row r="55" spans="1:19" ht="12" customHeight="1" x14ac:dyDescent="0.2">
      <c r="A55" s="228" t="s">
        <v>103</v>
      </c>
      <c r="B55" s="6" t="s">
        <v>59</v>
      </c>
      <c r="C55" s="44"/>
      <c r="D55" s="406" t="e">
        <f>#REF!+#REF!+'9.2.3. sz. mell.'!C55</f>
        <v>#REF!</v>
      </c>
      <c r="E55" s="543" t="e">
        <f t="shared" si="1"/>
        <v>#REF!</v>
      </c>
    </row>
    <row r="56" spans="1:19" ht="12" customHeight="1" thickBot="1" x14ac:dyDescent="0.25">
      <c r="A56" s="228" t="s">
        <v>104</v>
      </c>
      <c r="B56" s="6" t="s">
        <v>523</v>
      </c>
      <c r="C56" s="44"/>
      <c r="D56" s="406" t="e">
        <f>#REF!+#REF!+'9.2.3. sz. mell.'!C56</f>
        <v>#REF!</v>
      </c>
      <c r="E56" s="543" t="e">
        <f t="shared" si="1"/>
        <v>#REF!</v>
      </c>
    </row>
    <row r="57" spans="1:19" ht="12" customHeight="1" thickBot="1" x14ac:dyDescent="0.25">
      <c r="A57" s="80" t="s">
        <v>21</v>
      </c>
      <c r="B57" s="873" t="s">
        <v>13</v>
      </c>
      <c r="C57" s="157"/>
      <c r="D57" s="406" t="e">
        <f>#REF!+#REF!+'9.2.3. sz. mell.'!C57</f>
        <v>#REF!</v>
      </c>
      <c r="E57" s="543" t="e">
        <f t="shared" si="1"/>
        <v>#REF!</v>
      </c>
    </row>
    <row r="58" spans="1:19" ht="15" customHeight="1" thickBot="1" x14ac:dyDescent="0.25">
      <c r="A58" s="80" t="s">
        <v>22</v>
      </c>
      <c r="B58" s="104" t="s">
        <v>524</v>
      </c>
      <c r="C58" s="179">
        <f>+C46+C52+C57</f>
        <v>214699893</v>
      </c>
      <c r="D58" s="406" t="e">
        <f>#REF!+#REF!+'9.2.3. sz. mell.'!C58</f>
        <v>#REF!</v>
      </c>
      <c r="E58" s="543" t="e">
        <f t="shared" si="1"/>
        <v>#REF!</v>
      </c>
    </row>
    <row r="59" spans="1:19" ht="13.5" thickBot="1" x14ac:dyDescent="0.25">
      <c r="C59" s="373"/>
      <c r="D59" s="406" t="e">
        <f>#REF!+#REF!+'9.2.3. sz. mell.'!C59</f>
        <v>#REF!</v>
      </c>
      <c r="E59" s="407"/>
    </row>
    <row r="60" spans="1:19" ht="15" customHeight="1" thickBot="1" x14ac:dyDescent="0.25">
      <c r="A60" s="107" t="s">
        <v>517</v>
      </c>
      <c r="B60" s="108"/>
      <c r="C60" s="577">
        <f>47.375+0.8333</f>
        <v>48.208300000000001</v>
      </c>
      <c r="D60" s="406" t="e">
        <f>#REF!+#REF!+'9.2.3. sz. mell.'!C60</f>
        <v>#REF!</v>
      </c>
      <c r="E60" s="543" t="e">
        <f>C60-D60</f>
        <v>#REF!</v>
      </c>
    </row>
    <row r="61" spans="1:19" x14ac:dyDescent="0.2">
      <c r="I61" s="547"/>
    </row>
    <row r="63" spans="1:19" x14ac:dyDescent="0.2">
      <c r="B63" s="37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13. számú melléklet a 4/2020.(II.28.) önkormányzati rendelethez</oddHeader>
  </headerFooter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view="pageLayout" zoomScaleNormal="100" workbookViewId="0">
      <selection activeCell="C42" sqref="C42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74" customWidth="1"/>
    <col min="4" max="16384" width="9.33203125" style="106"/>
  </cols>
  <sheetData>
    <row r="1" spans="1:3" s="85" customFormat="1" ht="21" customHeight="1" thickBot="1" x14ac:dyDescent="0.25">
      <c r="A1" s="84"/>
      <c r="B1" s="86"/>
      <c r="C1" s="232"/>
    </row>
    <row r="2" spans="1:3" s="233" customFormat="1" ht="33.75" customHeight="1" x14ac:dyDescent="0.2">
      <c r="A2" s="190" t="s">
        <v>158</v>
      </c>
      <c r="B2" s="167" t="s">
        <v>441</v>
      </c>
      <c r="C2" s="181" t="s">
        <v>61</v>
      </c>
    </row>
    <row r="3" spans="1:3" s="233" customFormat="1" ht="24.75" thickBot="1" x14ac:dyDescent="0.25">
      <c r="A3" s="226" t="s">
        <v>157</v>
      </c>
      <c r="B3" s="168" t="s">
        <v>525</v>
      </c>
      <c r="C3" s="182" t="s">
        <v>368</v>
      </c>
    </row>
    <row r="4" spans="1:3" s="234" customFormat="1" ht="15.95" customHeight="1" thickBot="1" x14ac:dyDescent="0.3">
      <c r="A4" s="88"/>
      <c r="B4" s="88"/>
      <c r="C4" s="89" t="s">
        <v>553</v>
      </c>
    </row>
    <row r="5" spans="1:3" ht="13.5" thickBot="1" x14ac:dyDescent="0.25">
      <c r="A5" s="191" t="s">
        <v>159</v>
      </c>
      <c r="B5" s="90" t="s">
        <v>55</v>
      </c>
      <c r="C5" s="91" t="s">
        <v>56</v>
      </c>
    </row>
    <row r="6" spans="1:3" s="235" customFormat="1" ht="12.95" customHeight="1" thickBot="1" x14ac:dyDescent="0.25">
      <c r="A6" s="77" t="s">
        <v>443</v>
      </c>
      <c r="B6" s="78" t="s">
        <v>444</v>
      </c>
      <c r="C6" s="79" t="s">
        <v>445</v>
      </c>
    </row>
    <row r="7" spans="1:3" s="235" customFormat="1" ht="15.95" customHeight="1" thickBot="1" x14ac:dyDescent="0.25">
      <c r="A7" s="92"/>
      <c r="B7" s="93" t="s">
        <v>57</v>
      </c>
      <c r="C7" s="94"/>
    </row>
    <row r="8" spans="1:3" s="183" customFormat="1" ht="12" customHeight="1" thickBot="1" x14ac:dyDescent="0.25">
      <c r="A8" s="77" t="s">
        <v>19</v>
      </c>
      <c r="B8" s="95" t="s">
        <v>519</v>
      </c>
      <c r="C8" s="136">
        <f>SUM(C9:C19)</f>
        <v>6101000</v>
      </c>
    </row>
    <row r="9" spans="1:3" s="183" customFormat="1" ht="12" customHeight="1" x14ac:dyDescent="0.2">
      <c r="A9" s="227" t="s">
        <v>95</v>
      </c>
      <c r="B9" s="8" t="s">
        <v>212</v>
      </c>
      <c r="C9" s="172"/>
    </row>
    <row r="10" spans="1:3" s="183" customFormat="1" ht="12" customHeight="1" x14ac:dyDescent="0.2">
      <c r="A10" s="228" t="s">
        <v>96</v>
      </c>
      <c r="B10" s="6" t="s">
        <v>213</v>
      </c>
      <c r="C10" s="44">
        <f>4000000</f>
        <v>4000000</v>
      </c>
    </row>
    <row r="11" spans="1:3" s="183" customFormat="1" ht="12" customHeight="1" x14ac:dyDescent="0.2">
      <c r="A11" s="228" t="s">
        <v>97</v>
      </c>
      <c r="B11" s="6" t="s">
        <v>214</v>
      </c>
      <c r="C11" s="44">
        <v>300000</v>
      </c>
    </row>
    <row r="12" spans="1:3" s="183" customFormat="1" ht="12" customHeight="1" x14ac:dyDescent="0.2">
      <c r="A12" s="228" t="s">
        <v>98</v>
      </c>
      <c r="B12" s="6" t="s">
        <v>215</v>
      </c>
      <c r="C12" s="44"/>
    </row>
    <row r="13" spans="1:3" s="183" customFormat="1" ht="12" customHeight="1" x14ac:dyDescent="0.2">
      <c r="A13" s="228" t="s">
        <v>121</v>
      </c>
      <c r="B13" s="6" t="s">
        <v>216</v>
      </c>
      <c r="C13" s="44"/>
    </row>
    <row r="14" spans="1:3" s="183" customFormat="1" ht="12" customHeight="1" x14ac:dyDescent="0.2">
      <c r="A14" s="228" t="s">
        <v>99</v>
      </c>
      <c r="B14" s="6" t="s">
        <v>337</v>
      </c>
      <c r="C14" s="44">
        <v>1161000</v>
      </c>
    </row>
    <row r="15" spans="1:3" s="183" customFormat="1" ht="12" customHeight="1" x14ac:dyDescent="0.2">
      <c r="A15" s="228" t="s">
        <v>100</v>
      </c>
      <c r="B15" s="5" t="s">
        <v>338</v>
      </c>
      <c r="C15" s="44"/>
    </row>
    <row r="16" spans="1:3" s="183" customFormat="1" ht="12" customHeight="1" x14ac:dyDescent="0.2">
      <c r="A16" s="228" t="s">
        <v>110</v>
      </c>
      <c r="B16" s="6" t="s">
        <v>219</v>
      </c>
      <c r="C16" s="137"/>
    </row>
    <row r="17" spans="1:3" s="236" customFormat="1" ht="12" customHeight="1" x14ac:dyDescent="0.2">
      <c r="A17" s="228" t="s">
        <v>111</v>
      </c>
      <c r="B17" s="6" t="s">
        <v>220</v>
      </c>
      <c r="C17" s="44"/>
    </row>
    <row r="18" spans="1:3" s="236" customFormat="1" ht="12" customHeight="1" x14ac:dyDescent="0.2">
      <c r="A18" s="228" t="s">
        <v>112</v>
      </c>
      <c r="B18" s="6" t="s">
        <v>449</v>
      </c>
      <c r="C18" s="486"/>
    </row>
    <row r="19" spans="1:3" s="236" customFormat="1" ht="12" customHeight="1" thickBot="1" x14ac:dyDescent="0.25">
      <c r="A19" s="228" t="s">
        <v>113</v>
      </c>
      <c r="B19" s="5" t="s">
        <v>221</v>
      </c>
      <c r="C19" s="486">
        <v>640000</v>
      </c>
    </row>
    <row r="20" spans="1:3" s="183" customFormat="1" ht="12" customHeight="1" thickBot="1" x14ac:dyDescent="0.25">
      <c r="A20" s="77" t="s">
        <v>20</v>
      </c>
      <c r="B20" s="95" t="s">
        <v>339</v>
      </c>
      <c r="C20" s="136">
        <f>SUM(C21:C23)</f>
        <v>0</v>
      </c>
    </row>
    <row r="21" spans="1:3" s="236" customFormat="1" ht="12" customHeight="1" x14ac:dyDescent="0.2">
      <c r="A21" s="228" t="s">
        <v>101</v>
      </c>
      <c r="B21" s="7" t="s">
        <v>190</v>
      </c>
      <c r="C21" s="134"/>
    </row>
    <row r="22" spans="1:3" s="236" customFormat="1" ht="12" customHeight="1" x14ac:dyDescent="0.2">
      <c r="A22" s="228" t="s">
        <v>102</v>
      </c>
      <c r="B22" s="6" t="s">
        <v>340</v>
      </c>
      <c r="C22" s="44"/>
    </row>
    <row r="23" spans="1:3" s="236" customFormat="1" ht="12" customHeight="1" x14ac:dyDescent="0.2">
      <c r="A23" s="228" t="s">
        <v>103</v>
      </c>
      <c r="B23" s="6" t="s">
        <v>341</v>
      </c>
      <c r="C23" s="485"/>
    </row>
    <row r="24" spans="1:3" s="236" customFormat="1" ht="12" customHeight="1" thickBot="1" x14ac:dyDescent="0.25">
      <c r="A24" s="228" t="s">
        <v>104</v>
      </c>
      <c r="B24" s="6" t="s">
        <v>520</v>
      </c>
      <c r="C24" s="44"/>
    </row>
    <row r="25" spans="1:3" s="236" customFormat="1" ht="12" customHeight="1" thickBot="1" x14ac:dyDescent="0.25">
      <c r="A25" s="80" t="s">
        <v>21</v>
      </c>
      <c r="B25" s="67" t="s">
        <v>135</v>
      </c>
      <c r="C25" s="157"/>
    </row>
    <row r="26" spans="1:3" s="236" customFormat="1" ht="12" customHeight="1" thickBot="1" x14ac:dyDescent="0.25">
      <c r="A26" s="80" t="s">
        <v>22</v>
      </c>
      <c r="B26" s="67" t="s">
        <v>521</v>
      </c>
      <c r="C26" s="136">
        <f>+C27+C28+C29</f>
        <v>0</v>
      </c>
    </row>
    <row r="27" spans="1:3" s="236" customFormat="1" ht="12" customHeight="1" x14ac:dyDescent="0.2">
      <c r="A27" s="229" t="s">
        <v>200</v>
      </c>
      <c r="B27" s="230" t="s">
        <v>195</v>
      </c>
      <c r="C27" s="42"/>
    </row>
    <row r="28" spans="1:3" s="236" customFormat="1" ht="12" customHeight="1" x14ac:dyDescent="0.2">
      <c r="A28" s="229" t="s">
        <v>203</v>
      </c>
      <c r="B28" s="230" t="s">
        <v>340</v>
      </c>
      <c r="C28" s="134"/>
    </row>
    <row r="29" spans="1:3" s="236" customFormat="1" ht="12" customHeight="1" x14ac:dyDescent="0.2">
      <c r="A29" s="229" t="s">
        <v>204</v>
      </c>
      <c r="B29" s="231" t="s">
        <v>342</v>
      </c>
      <c r="C29" s="134"/>
    </row>
    <row r="30" spans="1:3" s="236" customFormat="1" ht="12" customHeight="1" thickBot="1" x14ac:dyDescent="0.25">
      <c r="A30" s="228" t="s">
        <v>205</v>
      </c>
      <c r="B30" s="70" t="s">
        <v>522</v>
      </c>
      <c r="C30" s="45"/>
    </row>
    <row r="31" spans="1:3" s="236" customFormat="1" ht="12" customHeight="1" thickBot="1" x14ac:dyDescent="0.25">
      <c r="A31" s="80" t="s">
        <v>23</v>
      </c>
      <c r="B31" s="67" t="s">
        <v>343</v>
      </c>
      <c r="C31" s="136">
        <f>+C32+C33+C34</f>
        <v>300000</v>
      </c>
    </row>
    <row r="32" spans="1:3" s="236" customFormat="1" ht="12" customHeight="1" x14ac:dyDescent="0.2">
      <c r="A32" s="229" t="s">
        <v>88</v>
      </c>
      <c r="B32" s="230" t="s">
        <v>226</v>
      </c>
      <c r="C32" s="42"/>
    </row>
    <row r="33" spans="1:4" s="236" customFormat="1" ht="12" customHeight="1" x14ac:dyDescent="0.2">
      <c r="A33" s="229" t="s">
        <v>89</v>
      </c>
      <c r="B33" s="231" t="s">
        <v>227</v>
      </c>
      <c r="C33" s="137"/>
    </row>
    <row r="34" spans="1:4" s="236" customFormat="1" ht="12" customHeight="1" thickBot="1" x14ac:dyDescent="0.25">
      <c r="A34" s="228" t="s">
        <v>90</v>
      </c>
      <c r="B34" s="70" t="s">
        <v>228</v>
      </c>
      <c r="C34" s="45">
        <v>300000</v>
      </c>
    </row>
    <row r="35" spans="1:4" s="183" customFormat="1" ht="12" customHeight="1" thickBot="1" x14ac:dyDescent="0.25">
      <c r="A35" s="80" t="s">
        <v>24</v>
      </c>
      <c r="B35" s="67" t="s">
        <v>314</v>
      </c>
      <c r="C35" s="157"/>
    </row>
    <row r="36" spans="1:4" s="183" customFormat="1" ht="12" customHeight="1" thickBot="1" x14ac:dyDescent="0.25">
      <c r="A36" s="80" t="s">
        <v>25</v>
      </c>
      <c r="B36" s="67" t="s">
        <v>344</v>
      </c>
      <c r="C36" s="174"/>
    </row>
    <row r="37" spans="1:4" s="183" customFormat="1" ht="12" customHeight="1" thickBot="1" x14ac:dyDescent="0.25">
      <c r="A37" s="77" t="s">
        <v>26</v>
      </c>
      <c r="B37" s="67" t="s">
        <v>345</v>
      </c>
      <c r="C37" s="175">
        <f>+C8+C20+C25+C26+C31+C35+C36</f>
        <v>6401000</v>
      </c>
    </row>
    <row r="38" spans="1:4" s="183" customFormat="1" ht="12" customHeight="1" thickBot="1" x14ac:dyDescent="0.25">
      <c r="A38" s="96" t="s">
        <v>27</v>
      </c>
      <c r="B38" s="67" t="s">
        <v>346</v>
      </c>
      <c r="C38" s="175">
        <f>+C39+C40+C41</f>
        <v>194142393</v>
      </c>
    </row>
    <row r="39" spans="1:4" s="183" customFormat="1" ht="12" customHeight="1" x14ac:dyDescent="0.2">
      <c r="A39" s="229" t="s">
        <v>347</v>
      </c>
      <c r="B39" s="230" t="s">
        <v>172</v>
      </c>
      <c r="C39" s="42"/>
      <c r="D39" s="275"/>
    </row>
    <row r="40" spans="1:4" s="183" customFormat="1" ht="12" customHeight="1" x14ac:dyDescent="0.2">
      <c r="A40" s="229" t="s">
        <v>348</v>
      </c>
      <c r="B40" s="231" t="s">
        <v>10</v>
      </c>
      <c r="C40" s="137"/>
    </row>
    <row r="41" spans="1:4" s="236" customFormat="1" ht="12" customHeight="1" thickBot="1" x14ac:dyDescent="0.25">
      <c r="A41" s="228" t="s">
        <v>349</v>
      </c>
      <c r="B41" s="70" t="s">
        <v>350</v>
      </c>
      <c r="C41" s="45">
        <f>215617432+340000-15039-21800000</f>
        <v>194142393</v>
      </c>
    </row>
    <row r="42" spans="1:4" s="236" customFormat="1" ht="15" customHeight="1" thickBot="1" x14ac:dyDescent="0.25">
      <c r="A42" s="96" t="s">
        <v>28</v>
      </c>
      <c r="B42" s="97" t="s">
        <v>351</v>
      </c>
      <c r="C42" s="178">
        <f>+C37+C38</f>
        <v>200543393</v>
      </c>
    </row>
    <row r="43" spans="1:4" s="236" customFormat="1" ht="15" customHeight="1" x14ac:dyDescent="0.2">
      <c r="A43" s="98"/>
      <c r="B43" s="99"/>
      <c r="C43" s="176"/>
    </row>
    <row r="44" spans="1:4" ht="13.5" thickBot="1" x14ac:dyDescent="0.25">
      <c r="A44" s="100"/>
      <c r="B44" s="101"/>
      <c r="C44" s="177"/>
    </row>
    <row r="45" spans="1:4" s="235" customFormat="1" ht="16.5" customHeight="1" thickBot="1" x14ac:dyDescent="0.25">
      <c r="A45" s="102"/>
      <c r="B45" s="103" t="s">
        <v>58</v>
      </c>
      <c r="C45" s="178"/>
    </row>
    <row r="46" spans="1:4" s="237" customFormat="1" ht="12" customHeight="1" thickBot="1" x14ac:dyDescent="0.25">
      <c r="A46" s="80" t="s">
        <v>19</v>
      </c>
      <c r="B46" s="67" t="s">
        <v>352</v>
      </c>
      <c r="C46" s="136">
        <f>SUM(C47:C51)</f>
        <v>196777526</v>
      </c>
    </row>
    <row r="47" spans="1:4" ht="12" customHeight="1" x14ac:dyDescent="0.2">
      <c r="A47" s="228" t="s">
        <v>95</v>
      </c>
      <c r="B47" s="7" t="s">
        <v>49</v>
      </c>
      <c r="C47" s="1017">
        <f>147375885-3199848+20000+1778250+2000000+420282-2000000+297872+637324-15039-11100000</f>
        <v>136214726</v>
      </c>
    </row>
    <row r="48" spans="1:4" ht="12" customHeight="1" x14ac:dyDescent="0.2">
      <c r="A48" s="228" t="s">
        <v>96</v>
      </c>
      <c r="B48" s="6" t="s">
        <v>144</v>
      </c>
      <c r="C48" s="1018">
        <f>30406649-561576+3900+346750+350000+931000+81955-350000+52128-672116-2500000</f>
        <v>28088690</v>
      </c>
    </row>
    <row r="49" spans="1:3" ht="12" customHeight="1" x14ac:dyDescent="0.2">
      <c r="A49" s="228" t="s">
        <v>97</v>
      </c>
      <c r="B49" s="6" t="s">
        <v>120</v>
      </c>
      <c r="C49" s="1018">
        <f>38780508-41398+500000+635000-7400000</f>
        <v>32474110</v>
      </c>
    </row>
    <row r="50" spans="1:3" ht="12" customHeight="1" x14ac:dyDescent="0.2">
      <c r="A50" s="228" t="s">
        <v>98</v>
      </c>
      <c r="B50" s="6" t="s">
        <v>145</v>
      </c>
      <c r="C50" s="44"/>
    </row>
    <row r="51" spans="1:3" ht="12" customHeight="1" thickBot="1" x14ac:dyDescent="0.25">
      <c r="A51" s="228" t="s">
        <v>121</v>
      </c>
      <c r="B51" s="6" t="s">
        <v>146</v>
      </c>
      <c r="C51" s="44"/>
    </row>
    <row r="52" spans="1:3" ht="12" customHeight="1" thickBot="1" x14ac:dyDescent="0.25">
      <c r="A52" s="80" t="s">
        <v>20</v>
      </c>
      <c r="B52" s="67" t="s">
        <v>353</v>
      </c>
      <c r="C52" s="136">
        <f>SUM(C53:C55)</f>
        <v>3765867</v>
      </c>
    </row>
    <row r="53" spans="1:3" s="237" customFormat="1" ht="12" customHeight="1" x14ac:dyDescent="0.2">
      <c r="A53" s="228" t="s">
        <v>101</v>
      </c>
      <c r="B53" s="7" t="s">
        <v>163</v>
      </c>
      <c r="C53" s="1017">
        <f>3355917+869950+340000-800000</f>
        <v>3765867</v>
      </c>
    </row>
    <row r="54" spans="1:3" ht="12" customHeight="1" x14ac:dyDescent="0.2">
      <c r="A54" s="228" t="s">
        <v>102</v>
      </c>
      <c r="B54" s="6" t="s">
        <v>148</v>
      </c>
      <c r="C54" s="44"/>
    </row>
    <row r="55" spans="1:3" ht="12" customHeight="1" x14ac:dyDescent="0.2">
      <c r="A55" s="228" t="s">
        <v>103</v>
      </c>
      <c r="B55" s="6" t="s">
        <v>59</v>
      </c>
      <c r="C55" s="44"/>
    </row>
    <row r="56" spans="1:3" ht="12" customHeight="1" thickBot="1" x14ac:dyDescent="0.25">
      <c r="A56" s="228" t="s">
        <v>104</v>
      </c>
      <c r="B56" s="6" t="s">
        <v>523</v>
      </c>
      <c r="C56" s="44"/>
    </row>
    <row r="57" spans="1:3" ht="15" customHeight="1" thickBot="1" x14ac:dyDescent="0.25">
      <c r="A57" s="80" t="s">
        <v>21</v>
      </c>
      <c r="B57" s="67" t="s">
        <v>13</v>
      </c>
      <c r="C57" s="157"/>
    </row>
    <row r="58" spans="1:3" ht="13.5" thickBot="1" x14ac:dyDescent="0.25">
      <c r="A58" s="80" t="s">
        <v>22</v>
      </c>
      <c r="B58" s="104" t="s">
        <v>524</v>
      </c>
      <c r="C58" s="179">
        <f>+C46+C52+C57</f>
        <v>200543393</v>
      </c>
    </row>
    <row r="59" spans="1:3" ht="15" customHeight="1" thickBot="1" x14ac:dyDescent="0.25">
      <c r="C59" s="373"/>
    </row>
    <row r="60" spans="1:3" ht="14.25" customHeight="1" thickBot="1" x14ac:dyDescent="0.25">
      <c r="A60" s="107" t="s">
        <v>517</v>
      </c>
      <c r="B60" s="108"/>
      <c r="C60" s="488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4/2020.(II.28.)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F61"/>
  <sheetViews>
    <sheetView view="pageLayout" zoomScaleNormal="100" workbookViewId="0">
      <selection activeCell="F49" sqref="E1:F1048576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9.33203125" style="106" customWidth="1"/>
    <col min="5" max="5" width="11.83203125" style="933" hidden="1" customWidth="1"/>
    <col min="6" max="6" width="9.83203125" style="933" hidden="1" customWidth="1"/>
    <col min="7" max="7" width="8" style="106" customWidth="1"/>
    <col min="8" max="8" width="9.33203125" style="106" customWidth="1"/>
    <col min="9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33203125" style="106"/>
    <col min="261" max="262" width="0" style="106" hidden="1" customWidth="1"/>
    <col min="263" max="263" width="8" style="106" customWidth="1"/>
    <col min="264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33203125" style="106"/>
    <col min="517" max="518" width="0" style="106" hidden="1" customWidth="1"/>
    <col min="519" max="519" width="8" style="106" customWidth="1"/>
    <col min="520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33203125" style="106"/>
    <col min="773" max="774" width="0" style="106" hidden="1" customWidth="1"/>
    <col min="775" max="775" width="8" style="106" customWidth="1"/>
    <col min="776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33203125" style="106"/>
    <col min="1029" max="1030" width="0" style="106" hidden="1" customWidth="1"/>
    <col min="1031" max="1031" width="8" style="106" customWidth="1"/>
    <col min="1032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33203125" style="106"/>
    <col min="1285" max="1286" width="0" style="106" hidden="1" customWidth="1"/>
    <col min="1287" max="1287" width="8" style="106" customWidth="1"/>
    <col min="1288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33203125" style="106"/>
    <col min="1541" max="1542" width="0" style="106" hidden="1" customWidth="1"/>
    <col min="1543" max="1543" width="8" style="106" customWidth="1"/>
    <col min="1544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33203125" style="106"/>
    <col min="1797" max="1798" width="0" style="106" hidden="1" customWidth="1"/>
    <col min="1799" max="1799" width="8" style="106" customWidth="1"/>
    <col min="1800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33203125" style="106"/>
    <col min="2053" max="2054" width="0" style="106" hidden="1" customWidth="1"/>
    <col min="2055" max="2055" width="8" style="106" customWidth="1"/>
    <col min="2056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33203125" style="106"/>
    <col min="2309" max="2310" width="0" style="106" hidden="1" customWidth="1"/>
    <col min="2311" max="2311" width="8" style="106" customWidth="1"/>
    <col min="2312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33203125" style="106"/>
    <col min="2565" max="2566" width="0" style="106" hidden="1" customWidth="1"/>
    <col min="2567" max="2567" width="8" style="106" customWidth="1"/>
    <col min="2568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33203125" style="106"/>
    <col min="2821" max="2822" width="0" style="106" hidden="1" customWidth="1"/>
    <col min="2823" max="2823" width="8" style="106" customWidth="1"/>
    <col min="2824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33203125" style="106"/>
    <col min="3077" max="3078" width="0" style="106" hidden="1" customWidth="1"/>
    <col min="3079" max="3079" width="8" style="106" customWidth="1"/>
    <col min="3080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33203125" style="106"/>
    <col min="3333" max="3334" width="0" style="106" hidden="1" customWidth="1"/>
    <col min="3335" max="3335" width="8" style="106" customWidth="1"/>
    <col min="3336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33203125" style="106"/>
    <col min="3589" max="3590" width="0" style="106" hidden="1" customWidth="1"/>
    <col min="3591" max="3591" width="8" style="106" customWidth="1"/>
    <col min="3592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33203125" style="106"/>
    <col min="3845" max="3846" width="0" style="106" hidden="1" customWidth="1"/>
    <col min="3847" max="3847" width="8" style="106" customWidth="1"/>
    <col min="3848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33203125" style="106"/>
    <col min="4101" max="4102" width="0" style="106" hidden="1" customWidth="1"/>
    <col min="4103" max="4103" width="8" style="106" customWidth="1"/>
    <col min="4104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33203125" style="106"/>
    <col min="4357" max="4358" width="0" style="106" hidden="1" customWidth="1"/>
    <col min="4359" max="4359" width="8" style="106" customWidth="1"/>
    <col min="4360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33203125" style="106"/>
    <col min="4613" max="4614" width="0" style="106" hidden="1" customWidth="1"/>
    <col min="4615" max="4615" width="8" style="106" customWidth="1"/>
    <col min="4616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33203125" style="106"/>
    <col min="4869" max="4870" width="0" style="106" hidden="1" customWidth="1"/>
    <col min="4871" max="4871" width="8" style="106" customWidth="1"/>
    <col min="4872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33203125" style="106"/>
    <col min="5125" max="5126" width="0" style="106" hidden="1" customWidth="1"/>
    <col min="5127" max="5127" width="8" style="106" customWidth="1"/>
    <col min="5128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33203125" style="106"/>
    <col min="5381" max="5382" width="0" style="106" hidden="1" customWidth="1"/>
    <col min="5383" max="5383" width="8" style="106" customWidth="1"/>
    <col min="5384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33203125" style="106"/>
    <col min="5637" max="5638" width="0" style="106" hidden="1" customWidth="1"/>
    <col min="5639" max="5639" width="8" style="106" customWidth="1"/>
    <col min="5640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33203125" style="106"/>
    <col min="5893" max="5894" width="0" style="106" hidden="1" customWidth="1"/>
    <col min="5895" max="5895" width="8" style="106" customWidth="1"/>
    <col min="5896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33203125" style="106"/>
    <col min="6149" max="6150" width="0" style="106" hidden="1" customWidth="1"/>
    <col min="6151" max="6151" width="8" style="106" customWidth="1"/>
    <col min="6152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33203125" style="106"/>
    <col min="6405" max="6406" width="0" style="106" hidden="1" customWidth="1"/>
    <col min="6407" max="6407" width="8" style="106" customWidth="1"/>
    <col min="6408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33203125" style="106"/>
    <col min="6661" max="6662" width="0" style="106" hidden="1" customWidth="1"/>
    <col min="6663" max="6663" width="8" style="106" customWidth="1"/>
    <col min="6664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33203125" style="106"/>
    <col min="6917" max="6918" width="0" style="106" hidden="1" customWidth="1"/>
    <col min="6919" max="6919" width="8" style="106" customWidth="1"/>
    <col min="6920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33203125" style="106"/>
    <col min="7173" max="7174" width="0" style="106" hidden="1" customWidth="1"/>
    <col min="7175" max="7175" width="8" style="106" customWidth="1"/>
    <col min="7176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33203125" style="106"/>
    <col min="7429" max="7430" width="0" style="106" hidden="1" customWidth="1"/>
    <col min="7431" max="7431" width="8" style="106" customWidth="1"/>
    <col min="7432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33203125" style="106"/>
    <col min="7685" max="7686" width="0" style="106" hidden="1" customWidth="1"/>
    <col min="7687" max="7687" width="8" style="106" customWidth="1"/>
    <col min="7688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33203125" style="106"/>
    <col min="7941" max="7942" width="0" style="106" hidden="1" customWidth="1"/>
    <col min="7943" max="7943" width="8" style="106" customWidth="1"/>
    <col min="7944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33203125" style="106"/>
    <col min="8197" max="8198" width="0" style="106" hidden="1" customWidth="1"/>
    <col min="8199" max="8199" width="8" style="106" customWidth="1"/>
    <col min="8200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33203125" style="106"/>
    <col min="8453" max="8454" width="0" style="106" hidden="1" customWidth="1"/>
    <col min="8455" max="8455" width="8" style="106" customWidth="1"/>
    <col min="8456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33203125" style="106"/>
    <col min="8709" max="8710" width="0" style="106" hidden="1" customWidth="1"/>
    <col min="8711" max="8711" width="8" style="106" customWidth="1"/>
    <col min="8712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33203125" style="106"/>
    <col min="8965" max="8966" width="0" style="106" hidden="1" customWidth="1"/>
    <col min="8967" max="8967" width="8" style="106" customWidth="1"/>
    <col min="8968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33203125" style="106"/>
    <col min="9221" max="9222" width="0" style="106" hidden="1" customWidth="1"/>
    <col min="9223" max="9223" width="8" style="106" customWidth="1"/>
    <col min="9224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33203125" style="106"/>
    <col min="9477" max="9478" width="0" style="106" hidden="1" customWidth="1"/>
    <col min="9479" max="9479" width="8" style="106" customWidth="1"/>
    <col min="9480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33203125" style="106"/>
    <col min="9733" max="9734" width="0" style="106" hidden="1" customWidth="1"/>
    <col min="9735" max="9735" width="8" style="106" customWidth="1"/>
    <col min="9736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33203125" style="106"/>
    <col min="9989" max="9990" width="0" style="106" hidden="1" customWidth="1"/>
    <col min="9991" max="9991" width="8" style="106" customWidth="1"/>
    <col min="9992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33203125" style="106"/>
    <col min="10245" max="10246" width="0" style="106" hidden="1" customWidth="1"/>
    <col min="10247" max="10247" width="8" style="106" customWidth="1"/>
    <col min="10248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33203125" style="106"/>
    <col min="10501" max="10502" width="0" style="106" hidden="1" customWidth="1"/>
    <col min="10503" max="10503" width="8" style="106" customWidth="1"/>
    <col min="10504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33203125" style="106"/>
    <col min="10757" max="10758" width="0" style="106" hidden="1" customWidth="1"/>
    <col min="10759" max="10759" width="8" style="106" customWidth="1"/>
    <col min="10760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33203125" style="106"/>
    <col min="11013" max="11014" width="0" style="106" hidden="1" customWidth="1"/>
    <col min="11015" max="11015" width="8" style="106" customWidth="1"/>
    <col min="11016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33203125" style="106"/>
    <col min="11269" max="11270" width="0" style="106" hidden="1" customWidth="1"/>
    <col min="11271" max="11271" width="8" style="106" customWidth="1"/>
    <col min="11272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33203125" style="106"/>
    <col min="11525" max="11526" width="0" style="106" hidden="1" customWidth="1"/>
    <col min="11527" max="11527" width="8" style="106" customWidth="1"/>
    <col min="11528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33203125" style="106"/>
    <col min="11781" max="11782" width="0" style="106" hidden="1" customWidth="1"/>
    <col min="11783" max="11783" width="8" style="106" customWidth="1"/>
    <col min="11784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33203125" style="106"/>
    <col min="12037" max="12038" width="0" style="106" hidden="1" customWidth="1"/>
    <col min="12039" max="12039" width="8" style="106" customWidth="1"/>
    <col min="12040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33203125" style="106"/>
    <col min="12293" max="12294" width="0" style="106" hidden="1" customWidth="1"/>
    <col min="12295" max="12295" width="8" style="106" customWidth="1"/>
    <col min="12296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33203125" style="106"/>
    <col min="12549" max="12550" width="0" style="106" hidden="1" customWidth="1"/>
    <col min="12551" max="12551" width="8" style="106" customWidth="1"/>
    <col min="12552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33203125" style="106"/>
    <col min="12805" max="12806" width="0" style="106" hidden="1" customWidth="1"/>
    <col min="12807" max="12807" width="8" style="106" customWidth="1"/>
    <col min="12808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33203125" style="106"/>
    <col min="13061" max="13062" width="0" style="106" hidden="1" customWidth="1"/>
    <col min="13063" max="13063" width="8" style="106" customWidth="1"/>
    <col min="13064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33203125" style="106"/>
    <col min="13317" max="13318" width="0" style="106" hidden="1" customWidth="1"/>
    <col min="13319" max="13319" width="8" style="106" customWidth="1"/>
    <col min="13320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33203125" style="106"/>
    <col min="13573" max="13574" width="0" style="106" hidden="1" customWidth="1"/>
    <col min="13575" max="13575" width="8" style="106" customWidth="1"/>
    <col min="13576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33203125" style="106"/>
    <col min="13829" max="13830" width="0" style="106" hidden="1" customWidth="1"/>
    <col min="13831" max="13831" width="8" style="106" customWidth="1"/>
    <col min="13832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33203125" style="106"/>
    <col min="14085" max="14086" width="0" style="106" hidden="1" customWidth="1"/>
    <col min="14087" max="14087" width="8" style="106" customWidth="1"/>
    <col min="14088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33203125" style="106"/>
    <col min="14341" max="14342" width="0" style="106" hidden="1" customWidth="1"/>
    <col min="14343" max="14343" width="8" style="106" customWidth="1"/>
    <col min="14344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33203125" style="106"/>
    <col min="14597" max="14598" width="0" style="106" hidden="1" customWidth="1"/>
    <col min="14599" max="14599" width="8" style="106" customWidth="1"/>
    <col min="14600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33203125" style="106"/>
    <col min="14853" max="14854" width="0" style="106" hidden="1" customWidth="1"/>
    <col min="14855" max="14855" width="8" style="106" customWidth="1"/>
    <col min="14856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33203125" style="106"/>
    <col min="15109" max="15110" width="0" style="106" hidden="1" customWidth="1"/>
    <col min="15111" max="15111" width="8" style="106" customWidth="1"/>
    <col min="15112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33203125" style="106"/>
    <col min="15365" max="15366" width="0" style="106" hidden="1" customWidth="1"/>
    <col min="15367" max="15367" width="8" style="106" customWidth="1"/>
    <col min="15368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33203125" style="106"/>
    <col min="15621" max="15622" width="0" style="106" hidden="1" customWidth="1"/>
    <col min="15623" max="15623" width="8" style="106" customWidth="1"/>
    <col min="15624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33203125" style="106"/>
    <col min="15877" max="15878" width="0" style="106" hidden="1" customWidth="1"/>
    <col min="15879" max="15879" width="8" style="106" customWidth="1"/>
    <col min="15880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33203125" style="106"/>
    <col min="16133" max="16134" width="0" style="106" hidden="1" customWidth="1"/>
    <col min="16135" max="16135" width="8" style="106" customWidth="1"/>
    <col min="16136" max="16384" width="9.33203125" style="106"/>
  </cols>
  <sheetData>
    <row r="1" spans="1:6" s="926" customFormat="1" ht="21" customHeight="1" thickBot="1" x14ac:dyDescent="0.25">
      <c r="A1" s="947"/>
      <c r="B1" s="948"/>
      <c r="C1" s="975"/>
      <c r="E1" s="933"/>
      <c r="F1" s="933"/>
    </row>
    <row r="2" spans="1:6" s="928" customFormat="1" ht="33" customHeight="1" x14ac:dyDescent="0.2">
      <c r="A2" s="967" t="s">
        <v>158</v>
      </c>
      <c r="B2" s="965" t="s">
        <v>393</v>
      </c>
      <c r="C2" s="976" t="s">
        <v>62</v>
      </c>
      <c r="E2" s="934"/>
      <c r="F2" s="934"/>
    </row>
    <row r="3" spans="1:6" s="928" customFormat="1" ht="24.75" thickBot="1" x14ac:dyDescent="0.25">
      <c r="A3" s="969" t="s">
        <v>157</v>
      </c>
      <c r="B3" s="966" t="s">
        <v>336</v>
      </c>
      <c r="C3" s="977" t="s">
        <v>54</v>
      </c>
      <c r="E3" s="934"/>
      <c r="F3" s="934"/>
    </row>
    <row r="4" spans="1:6" s="929" customFormat="1" ht="15.95" customHeight="1" thickBot="1" x14ac:dyDescent="0.3">
      <c r="A4" s="949"/>
      <c r="B4" s="949"/>
      <c r="C4" s="978" t="s">
        <v>553</v>
      </c>
      <c r="E4" s="934"/>
      <c r="F4" s="934"/>
    </row>
    <row r="5" spans="1:6" ht="13.5" thickBot="1" x14ac:dyDescent="0.25">
      <c r="A5" s="968" t="s">
        <v>159</v>
      </c>
      <c r="B5" s="950" t="s">
        <v>55</v>
      </c>
      <c r="C5" s="979" t="s">
        <v>56</v>
      </c>
    </row>
    <row r="6" spans="1:6" s="930" customFormat="1" ht="12.95" customHeight="1" thickBot="1" x14ac:dyDescent="0.25">
      <c r="A6" s="944" t="s">
        <v>443</v>
      </c>
      <c r="B6" s="945" t="s">
        <v>444</v>
      </c>
      <c r="C6" s="980" t="s">
        <v>445</v>
      </c>
      <c r="E6" s="935"/>
      <c r="F6" s="935"/>
    </row>
    <row r="7" spans="1:6" s="930" customFormat="1" ht="15.95" customHeight="1" thickBot="1" x14ac:dyDescent="0.25">
      <c r="A7" s="951"/>
      <c r="B7" s="952" t="s">
        <v>57</v>
      </c>
      <c r="C7" s="981"/>
      <c r="E7" s="935"/>
      <c r="F7" s="935"/>
    </row>
    <row r="8" spans="1:6" s="927" customFormat="1" ht="12" customHeight="1" thickBot="1" x14ac:dyDescent="0.25">
      <c r="A8" s="944" t="s">
        <v>19</v>
      </c>
      <c r="B8" s="953" t="s">
        <v>519</v>
      </c>
      <c r="C8" s="998">
        <f>SUM(C9:C19)</f>
        <v>8360168</v>
      </c>
      <c r="E8" s="936" t="e">
        <f>'9.3.1. sz. mell EOI'!C8+#REF!</f>
        <v>#REF!</v>
      </c>
      <c r="F8" s="936" t="e">
        <f>C8-E8</f>
        <v>#REF!</v>
      </c>
    </row>
    <row r="9" spans="1:6" s="927" customFormat="1" ht="12" customHeight="1" x14ac:dyDescent="0.2">
      <c r="A9" s="970" t="s">
        <v>95</v>
      </c>
      <c r="B9" s="941" t="s">
        <v>212</v>
      </c>
      <c r="C9" s="983"/>
      <c r="E9" s="936" t="e">
        <f>'9.3.1. sz. mell EOI'!C9+#REF!</f>
        <v>#REF!</v>
      </c>
      <c r="F9" s="936" t="e">
        <f t="shared" ref="F9:F60" si="0">C9-E9</f>
        <v>#REF!</v>
      </c>
    </row>
    <row r="10" spans="1:6" s="927" customFormat="1" ht="12" customHeight="1" x14ac:dyDescent="0.2">
      <c r="A10" s="971" t="s">
        <v>96</v>
      </c>
      <c r="B10" s="939" t="s">
        <v>213</v>
      </c>
      <c r="C10" s="984">
        <f>616000+35063</f>
        <v>651063</v>
      </c>
      <c r="E10" s="936" t="e">
        <f>'9.3.1. sz. mell EOI'!C10+#REF!</f>
        <v>#REF!</v>
      </c>
      <c r="F10" s="936" t="e">
        <f t="shared" si="0"/>
        <v>#REF!</v>
      </c>
    </row>
    <row r="11" spans="1:6" s="927" customFormat="1" ht="12" customHeight="1" x14ac:dyDescent="0.2">
      <c r="A11" s="971" t="s">
        <v>97</v>
      </c>
      <c r="B11" s="939" t="s">
        <v>214</v>
      </c>
      <c r="C11" s="984">
        <f>4200000+5000+40000+600000</f>
        <v>4845000</v>
      </c>
      <c r="E11" s="936" t="e">
        <f>'9.3.1. sz. mell EOI'!C11+#REF!</f>
        <v>#REF!</v>
      </c>
      <c r="F11" s="936" t="e">
        <f t="shared" si="0"/>
        <v>#REF!</v>
      </c>
    </row>
    <row r="12" spans="1:6" s="927" customFormat="1" ht="12" customHeight="1" x14ac:dyDescent="0.2">
      <c r="A12" s="971" t="s">
        <v>98</v>
      </c>
      <c r="B12" s="939" t="s">
        <v>215</v>
      </c>
      <c r="C12" s="984"/>
      <c r="E12" s="936" t="e">
        <f>'9.3.1. sz. mell EOI'!C12+#REF!</f>
        <v>#REF!</v>
      </c>
      <c r="F12" s="936" t="e">
        <f t="shared" si="0"/>
        <v>#REF!</v>
      </c>
    </row>
    <row r="13" spans="1:6" s="927" customFormat="1" ht="12" customHeight="1" x14ac:dyDescent="0.2">
      <c r="A13" s="971" t="s">
        <v>121</v>
      </c>
      <c r="B13" s="939" t="s">
        <v>216</v>
      </c>
      <c r="C13" s="984">
        <v>862330</v>
      </c>
      <c r="E13" s="936" t="e">
        <f>'9.3.1. sz. mell EOI'!C13+#REF!</f>
        <v>#REF!</v>
      </c>
      <c r="F13" s="936" t="e">
        <f t="shared" si="0"/>
        <v>#REF!</v>
      </c>
    </row>
    <row r="14" spans="1:6" s="927" customFormat="1" ht="12" customHeight="1" x14ac:dyDescent="0.2">
      <c r="A14" s="971" t="s">
        <v>99</v>
      </c>
      <c r="B14" s="939" t="s">
        <v>337</v>
      </c>
      <c r="C14" s="984">
        <f>1533149+9467+1350+10800+162000</f>
        <v>1716766</v>
      </c>
      <c r="E14" s="936" t="e">
        <f>'9.3.1. sz. mell EOI'!C14+#REF!</f>
        <v>#REF!</v>
      </c>
      <c r="F14" s="936" t="e">
        <f t="shared" si="0"/>
        <v>#REF!</v>
      </c>
    </row>
    <row r="15" spans="1:6" s="927" customFormat="1" ht="12" customHeight="1" x14ac:dyDescent="0.2">
      <c r="A15" s="971" t="s">
        <v>100</v>
      </c>
      <c r="B15" s="938" t="s">
        <v>338</v>
      </c>
      <c r="C15" s="984">
        <v>169000</v>
      </c>
      <c r="E15" s="936" t="e">
        <f>'9.3.1. sz. mell EOI'!C15+#REF!</f>
        <v>#REF!</v>
      </c>
      <c r="F15" s="936" t="e">
        <f t="shared" si="0"/>
        <v>#REF!</v>
      </c>
    </row>
    <row r="16" spans="1:6" s="927" customFormat="1" ht="12" customHeight="1" x14ac:dyDescent="0.2">
      <c r="A16" s="971" t="s">
        <v>110</v>
      </c>
      <c r="B16" s="939" t="s">
        <v>219</v>
      </c>
      <c r="C16" s="985"/>
      <c r="E16" s="936" t="e">
        <f>'9.3.1. sz. mell EOI'!C16+#REF!</f>
        <v>#REF!</v>
      </c>
      <c r="F16" s="936" t="e">
        <f t="shared" si="0"/>
        <v>#REF!</v>
      </c>
    </row>
    <row r="17" spans="1:6" s="931" customFormat="1" ht="12" customHeight="1" x14ac:dyDescent="0.2">
      <c r="A17" s="971" t="s">
        <v>111</v>
      </c>
      <c r="B17" s="939" t="s">
        <v>220</v>
      </c>
      <c r="C17" s="984"/>
      <c r="E17" s="936" t="e">
        <f>'9.3.1. sz. mell EOI'!C17+#REF!</f>
        <v>#REF!</v>
      </c>
      <c r="F17" s="936" t="e">
        <f t="shared" si="0"/>
        <v>#REF!</v>
      </c>
    </row>
    <row r="18" spans="1:6" s="931" customFormat="1" ht="12" customHeight="1" x14ac:dyDescent="0.2">
      <c r="A18" s="971" t="s">
        <v>112</v>
      </c>
      <c r="B18" s="939" t="s">
        <v>449</v>
      </c>
      <c r="C18" s="1107"/>
      <c r="E18" s="936" t="e">
        <f>'9.3.1. sz. mell EOI'!C18+#REF!</f>
        <v>#REF!</v>
      </c>
      <c r="F18" s="936" t="e">
        <f t="shared" si="0"/>
        <v>#REF!</v>
      </c>
    </row>
    <row r="19" spans="1:6" s="931" customFormat="1" ht="12" customHeight="1" thickBot="1" x14ac:dyDescent="0.25">
      <c r="A19" s="971" t="s">
        <v>113</v>
      </c>
      <c r="B19" s="938" t="s">
        <v>221</v>
      </c>
      <c r="C19" s="1107">
        <f>1000+21833+33176+60000</f>
        <v>116009</v>
      </c>
      <c r="E19" s="936" t="e">
        <f>'9.3.1. sz. mell EOI'!C19+#REF!</f>
        <v>#REF!</v>
      </c>
      <c r="F19" s="936" t="e">
        <f t="shared" si="0"/>
        <v>#REF!</v>
      </c>
    </row>
    <row r="20" spans="1:6" s="927" customFormat="1" ht="12" customHeight="1" thickBot="1" x14ac:dyDescent="0.25">
      <c r="A20" s="944" t="s">
        <v>20</v>
      </c>
      <c r="B20" s="953" t="s">
        <v>339</v>
      </c>
      <c r="C20" s="982">
        <f>SUM(C21:C23)</f>
        <v>0</v>
      </c>
      <c r="E20" s="936" t="e">
        <f>'9.3.1. sz. mell EOI'!C20+#REF!</f>
        <v>#REF!</v>
      </c>
      <c r="F20" s="936" t="e">
        <f t="shared" si="0"/>
        <v>#REF!</v>
      </c>
    </row>
    <row r="21" spans="1:6" s="931" customFormat="1" ht="12" customHeight="1" x14ac:dyDescent="0.2">
      <c r="A21" s="971" t="s">
        <v>101</v>
      </c>
      <c r="B21" s="940" t="s">
        <v>190</v>
      </c>
      <c r="C21" s="987"/>
      <c r="E21" s="936" t="e">
        <f>'9.3.1. sz. mell EOI'!C21+#REF!</f>
        <v>#REF!</v>
      </c>
      <c r="F21" s="936" t="e">
        <f t="shared" si="0"/>
        <v>#REF!</v>
      </c>
    </row>
    <row r="22" spans="1:6" s="931" customFormat="1" ht="12" customHeight="1" x14ac:dyDescent="0.2">
      <c r="A22" s="971" t="s">
        <v>102</v>
      </c>
      <c r="B22" s="939" t="s">
        <v>340</v>
      </c>
      <c r="C22" s="984"/>
      <c r="E22" s="936" t="e">
        <f>'9.3.1. sz. mell EOI'!C22+#REF!</f>
        <v>#REF!</v>
      </c>
      <c r="F22" s="936" t="e">
        <f t="shared" si="0"/>
        <v>#REF!</v>
      </c>
    </row>
    <row r="23" spans="1:6" s="931" customFormat="1" ht="12" customHeight="1" x14ac:dyDescent="0.2">
      <c r="A23" s="971" t="s">
        <v>103</v>
      </c>
      <c r="B23" s="939" t="s">
        <v>341</v>
      </c>
      <c r="C23" s="984"/>
      <c r="E23" s="936" t="e">
        <f>'9.3.1. sz. mell EOI'!C23+#REF!</f>
        <v>#REF!</v>
      </c>
      <c r="F23" s="936" t="e">
        <f t="shared" si="0"/>
        <v>#REF!</v>
      </c>
    </row>
    <row r="24" spans="1:6" s="931" customFormat="1" ht="12" customHeight="1" thickBot="1" x14ac:dyDescent="0.25">
      <c r="A24" s="971" t="s">
        <v>104</v>
      </c>
      <c r="B24" s="939" t="s">
        <v>520</v>
      </c>
      <c r="C24" s="984"/>
      <c r="E24" s="936" t="e">
        <f>'9.3.1. sz. mell EOI'!C24+#REF!</f>
        <v>#REF!</v>
      </c>
      <c r="F24" s="936" t="e">
        <f t="shared" si="0"/>
        <v>#REF!</v>
      </c>
    </row>
    <row r="25" spans="1:6" s="931" customFormat="1" ht="12" customHeight="1" thickBot="1" x14ac:dyDescent="0.25">
      <c r="A25" s="946" t="s">
        <v>21</v>
      </c>
      <c r="B25" s="942" t="s">
        <v>135</v>
      </c>
      <c r="C25" s="988"/>
      <c r="E25" s="936" t="e">
        <f>'9.3.1. sz. mell EOI'!C25+#REF!</f>
        <v>#REF!</v>
      </c>
      <c r="F25" s="936" t="e">
        <f t="shared" si="0"/>
        <v>#REF!</v>
      </c>
    </row>
    <row r="26" spans="1:6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  <c r="E26" s="936" t="e">
        <f>'9.3.1. sz. mell EOI'!C26+#REF!</f>
        <v>#REF!</v>
      </c>
      <c r="F26" s="936" t="e">
        <f t="shared" si="0"/>
        <v>#REF!</v>
      </c>
    </row>
    <row r="27" spans="1:6" s="931" customFormat="1" ht="12" customHeight="1" x14ac:dyDescent="0.2">
      <c r="A27" s="972" t="s">
        <v>200</v>
      </c>
      <c r="B27" s="973" t="s">
        <v>195</v>
      </c>
      <c r="C27" s="989"/>
      <c r="E27" s="936" t="e">
        <f>'9.3.1. sz. mell EOI'!C27+#REF!</f>
        <v>#REF!</v>
      </c>
      <c r="F27" s="936" t="e">
        <f t="shared" si="0"/>
        <v>#REF!</v>
      </c>
    </row>
    <row r="28" spans="1:6" s="931" customFormat="1" ht="12" customHeight="1" x14ac:dyDescent="0.2">
      <c r="A28" s="972" t="s">
        <v>203</v>
      </c>
      <c r="B28" s="973" t="s">
        <v>340</v>
      </c>
      <c r="C28" s="987"/>
      <c r="E28" s="936" t="e">
        <f>'9.3.1. sz. mell EOI'!C28+#REF!</f>
        <v>#REF!</v>
      </c>
      <c r="F28" s="936" t="e">
        <f t="shared" si="0"/>
        <v>#REF!</v>
      </c>
    </row>
    <row r="29" spans="1:6" s="931" customFormat="1" ht="12" customHeight="1" x14ac:dyDescent="0.2">
      <c r="A29" s="972" t="s">
        <v>204</v>
      </c>
      <c r="B29" s="974" t="s">
        <v>342</v>
      </c>
      <c r="C29" s="987"/>
      <c r="E29" s="936" t="e">
        <f>'9.3.1. sz. mell EOI'!C29+#REF!</f>
        <v>#REF!</v>
      </c>
      <c r="F29" s="936" t="e">
        <f t="shared" si="0"/>
        <v>#REF!</v>
      </c>
    </row>
    <row r="30" spans="1:6" s="931" customFormat="1" ht="12" customHeight="1" thickBot="1" x14ac:dyDescent="0.25">
      <c r="A30" s="971" t="s">
        <v>205</v>
      </c>
      <c r="B30" s="943" t="s">
        <v>522</v>
      </c>
      <c r="C30" s="990"/>
      <c r="E30" s="936" t="e">
        <f>'9.3.1. sz. mell EOI'!C30+#REF!</f>
        <v>#REF!</v>
      </c>
      <c r="F30" s="936" t="e">
        <f t="shared" si="0"/>
        <v>#REF!</v>
      </c>
    </row>
    <row r="31" spans="1:6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  <c r="E31" s="936" t="e">
        <f>'9.3.1. sz. mell EOI'!C31+#REF!</f>
        <v>#REF!</v>
      </c>
      <c r="F31" s="936" t="e">
        <f t="shared" si="0"/>
        <v>#REF!</v>
      </c>
    </row>
    <row r="32" spans="1:6" s="931" customFormat="1" ht="12" customHeight="1" x14ac:dyDescent="0.2">
      <c r="A32" s="972" t="s">
        <v>88</v>
      </c>
      <c r="B32" s="973" t="s">
        <v>226</v>
      </c>
      <c r="C32" s="989"/>
      <c r="E32" s="936" t="e">
        <f>'9.3.1. sz. mell EOI'!C32+#REF!</f>
        <v>#REF!</v>
      </c>
      <c r="F32" s="936" t="e">
        <f t="shared" si="0"/>
        <v>#REF!</v>
      </c>
    </row>
    <row r="33" spans="1:6" s="931" customFormat="1" ht="12" customHeight="1" x14ac:dyDescent="0.2">
      <c r="A33" s="972" t="s">
        <v>89</v>
      </c>
      <c r="B33" s="974" t="s">
        <v>227</v>
      </c>
      <c r="C33" s="985"/>
      <c r="E33" s="936" t="e">
        <f>'9.3.1. sz. mell EOI'!C33+#REF!</f>
        <v>#REF!</v>
      </c>
      <c r="F33" s="936" t="e">
        <f t="shared" si="0"/>
        <v>#REF!</v>
      </c>
    </row>
    <row r="34" spans="1:6" s="927" customFormat="1" ht="12" customHeight="1" thickBot="1" x14ac:dyDescent="0.25">
      <c r="A34" s="971" t="s">
        <v>90</v>
      </c>
      <c r="B34" s="943" t="s">
        <v>228</v>
      </c>
      <c r="C34" s="990"/>
      <c r="E34" s="936" t="e">
        <f>'9.3.1. sz. mell EOI'!C34+#REF!</f>
        <v>#REF!</v>
      </c>
      <c r="F34" s="936" t="e">
        <f t="shared" si="0"/>
        <v>#REF!</v>
      </c>
    </row>
    <row r="35" spans="1:6" s="927" customFormat="1" ht="12" customHeight="1" thickBot="1" x14ac:dyDescent="0.25">
      <c r="A35" s="946" t="s">
        <v>24</v>
      </c>
      <c r="B35" s="942" t="s">
        <v>314</v>
      </c>
      <c r="C35" s="988">
        <v>60000</v>
      </c>
      <c r="E35" s="936" t="e">
        <f>'9.3.1. sz. mell EOI'!C35+#REF!</f>
        <v>#REF!</v>
      </c>
      <c r="F35" s="936" t="e">
        <f t="shared" si="0"/>
        <v>#REF!</v>
      </c>
    </row>
    <row r="36" spans="1:6" s="927" customFormat="1" ht="12" customHeight="1" thickBot="1" x14ac:dyDescent="0.25">
      <c r="A36" s="946" t="s">
        <v>25</v>
      </c>
      <c r="B36" s="942" t="s">
        <v>344</v>
      </c>
      <c r="C36" s="991"/>
      <c r="E36" s="936" t="e">
        <f>'9.3.1. sz. mell EOI'!C36+#REF!</f>
        <v>#REF!</v>
      </c>
      <c r="F36" s="936" t="e">
        <f t="shared" si="0"/>
        <v>#REF!</v>
      </c>
    </row>
    <row r="37" spans="1:6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8420168</v>
      </c>
      <c r="E37" s="936" t="e">
        <f>'9.3.1. sz. mell EOI'!C37+#REF!</f>
        <v>#REF!</v>
      </c>
      <c r="F37" s="936" t="e">
        <f t="shared" si="0"/>
        <v>#REF!</v>
      </c>
    </row>
    <row r="38" spans="1:6" s="927" customFormat="1" ht="12" customHeight="1" thickBot="1" x14ac:dyDescent="0.25">
      <c r="A38" s="954" t="s">
        <v>27</v>
      </c>
      <c r="B38" s="942" t="s">
        <v>346</v>
      </c>
      <c r="C38" s="999">
        <f>+C39+C40+C41</f>
        <v>319281087</v>
      </c>
      <c r="E38" s="936" t="e">
        <f>'9.3.1. sz. mell EOI'!C38+#REF!</f>
        <v>#REF!</v>
      </c>
      <c r="F38" s="936" t="e">
        <f t="shared" si="0"/>
        <v>#REF!</v>
      </c>
    </row>
    <row r="39" spans="1:6" s="927" customFormat="1" ht="12" customHeight="1" x14ac:dyDescent="0.2">
      <c r="A39" s="972" t="s">
        <v>347</v>
      </c>
      <c r="B39" s="973" t="s">
        <v>172</v>
      </c>
      <c r="C39" s="989">
        <v>1054835</v>
      </c>
      <c r="E39" s="936" t="e">
        <f>'9.3.1. sz. mell EOI'!C39+#REF!</f>
        <v>#REF!</v>
      </c>
      <c r="F39" s="936" t="e">
        <f t="shared" si="0"/>
        <v>#REF!</v>
      </c>
    </row>
    <row r="40" spans="1:6" s="931" customFormat="1" ht="12" customHeight="1" x14ac:dyDescent="0.2">
      <c r="A40" s="972" t="s">
        <v>348</v>
      </c>
      <c r="B40" s="974" t="s">
        <v>10</v>
      </c>
      <c r="C40" s="985"/>
      <c r="E40" s="936" t="e">
        <f>'9.3.1. sz. mell EOI'!C40+#REF!</f>
        <v>#REF!</v>
      </c>
      <c r="F40" s="936" t="e">
        <f t="shared" si="0"/>
        <v>#REF!</v>
      </c>
    </row>
    <row r="41" spans="1:6" s="931" customFormat="1" ht="15" customHeight="1" thickBot="1" x14ac:dyDescent="0.25">
      <c r="A41" s="971" t="s">
        <v>349</v>
      </c>
      <c r="B41" s="943" t="s">
        <v>350</v>
      </c>
      <c r="C41" s="1028">
        <f>328107890+80000+4185664+15000+110000+110000-1943023+2120721-14560000</f>
        <v>318226252</v>
      </c>
      <c r="E41" s="936" t="e">
        <f>'9.3.1. sz. mell EOI'!C41+#REF!</f>
        <v>#REF!</v>
      </c>
      <c r="F41" s="936" t="e">
        <f t="shared" si="0"/>
        <v>#REF!</v>
      </c>
    </row>
    <row r="42" spans="1:6" s="931" customFormat="1" ht="15" customHeight="1" thickBot="1" x14ac:dyDescent="0.25">
      <c r="A42" s="954" t="s">
        <v>28</v>
      </c>
      <c r="B42" s="955" t="s">
        <v>351</v>
      </c>
      <c r="C42" s="1106">
        <f>+C37+C38</f>
        <v>327701255</v>
      </c>
      <c r="E42" s="936" t="e">
        <f>'9.3.1. sz. mell EOI'!C42+#REF!</f>
        <v>#REF!</v>
      </c>
      <c r="F42" s="936" t="e">
        <f t="shared" si="0"/>
        <v>#REF!</v>
      </c>
    </row>
    <row r="43" spans="1:6" x14ac:dyDescent="0.2">
      <c r="A43" s="956"/>
      <c r="B43" s="957"/>
      <c r="C43" s="994"/>
      <c r="E43" s="936" t="e">
        <f>'9.3.1. sz. mell EOI'!C43+#REF!</f>
        <v>#REF!</v>
      </c>
      <c r="F43" s="936" t="e">
        <f t="shared" si="0"/>
        <v>#REF!</v>
      </c>
    </row>
    <row r="44" spans="1:6" s="930" customFormat="1" ht="16.5" customHeight="1" thickBot="1" x14ac:dyDescent="0.25">
      <c r="A44" s="958"/>
      <c r="B44" s="959"/>
      <c r="C44" s="995"/>
      <c r="E44" s="936" t="e">
        <f>'9.3.1. sz. mell EOI'!C44+#REF!</f>
        <v>#REF!</v>
      </c>
      <c r="F44" s="936" t="e">
        <f t="shared" si="0"/>
        <v>#REF!</v>
      </c>
    </row>
    <row r="45" spans="1:6" s="932" customFormat="1" ht="12" customHeight="1" thickBot="1" x14ac:dyDescent="0.25">
      <c r="A45" s="960"/>
      <c r="B45" s="961" t="s">
        <v>58</v>
      </c>
      <c r="C45" s="993"/>
      <c r="E45" s="936" t="e">
        <f>'9.3.1. sz. mell EOI'!C45+#REF!</f>
        <v>#REF!</v>
      </c>
      <c r="F45" s="936" t="e">
        <f t="shared" si="0"/>
        <v>#REF!</v>
      </c>
    </row>
    <row r="46" spans="1:6" ht="12" customHeight="1" thickBot="1" x14ac:dyDescent="0.25">
      <c r="A46" s="946" t="s">
        <v>19</v>
      </c>
      <c r="B46" s="942" t="s">
        <v>352</v>
      </c>
      <c r="C46" s="998">
        <f>SUM(C47:C51)</f>
        <v>324580065</v>
      </c>
      <c r="E46" s="936" t="e">
        <f>'9.3.1. sz. mell EOI'!C46+#REF!</f>
        <v>#REF!</v>
      </c>
      <c r="F46" s="936" t="e">
        <f t="shared" si="0"/>
        <v>#REF!</v>
      </c>
    </row>
    <row r="47" spans="1:6" ht="12" customHeight="1" x14ac:dyDescent="0.2">
      <c r="A47" s="971" t="s">
        <v>95</v>
      </c>
      <c r="B47" s="940" t="s">
        <v>49</v>
      </c>
      <c r="C47" s="1017">
        <f>208655734+585000+3502648+18270+1689975+28235-920500-585000-7500000</f>
        <v>205474362</v>
      </c>
      <c r="E47" s="936" t="e">
        <f>'9.3.1. sz. mell EOI'!C47+#REF!</f>
        <v>#REF!</v>
      </c>
      <c r="F47" s="936" t="e">
        <f t="shared" si="0"/>
        <v>#REF!</v>
      </c>
    </row>
    <row r="48" spans="1:6" ht="12" customHeight="1" x14ac:dyDescent="0.2">
      <c r="A48" s="971" t="s">
        <v>96</v>
      </c>
      <c r="B48" s="939" t="s">
        <v>144</v>
      </c>
      <c r="C48" s="1018">
        <f>44850807+114075+683016+3563-1943023+295746+4941-179500-114075-1000000-1000000</f>
        <v>41715550</v>
      </c>
      <c r="E48" s="936" t="e">
        <f>'9.3.1. sz. mell EOI'!C48+#REF!</f>
        <v>#REF!</v>
      </c>
      <c r="F48" s="936" t="e">
        <f t="shared" si="0"/>
        <v>#REF!</v>
      </c>
    </row>
    <row r="49" spans="1:6" ht="12" customHeight="1" x14ac:dyDescent="0.2">
      <c r="A49" s="971" t="s">
        <v>97</v>
      </c>
      <c r="B49" s="939" t="s">
        <v>120</v>
      </c>
      <c r="C49" s="1018">
        <f>80145873+44530+80000+81950+50800+60000+15000+762000+50000+1100000-5000000</f>
        <v>77390153</v>
      </c>
      <c r="E49" s="936" t="e">
        <f>'9.3.1. sz. mell EOI'!C49+#REF!</f>
        <v>#REF!</v>
      </c>
      <c r="F49" s="936" t="e">
        <f t="shared" si="0"/>
        <v>#REF!</v>
      </c>
    </row>
    <row r="50" spans="1:6" ht="12" customHeight="1" x14ac:dyDescent="0.2">
      <c r="A50" s="971" t="s">
        <v>98</v>
      </c>
      <c r="B50" s="939" t="s">
        <v>145</v>
      </c>
      <c r="C50" s="984"/>
      <c r="E50" s="936" t="e">
        <f>'9.3.1. sz. mell EOI'!C50+#REF!</f>
        <v>#REF!</v>
      </c>
      <c r="F50" s="936" t="e">
        <f t="shared" si="0"/>
        <v>#REF!</v>
      </c>
    </row>
    <row r="51" spans="1:6" ht="12" customHeight="1" thickBot="1" x14ac:dyDescent="0.25">
      <c r="A51" s="971" t="s">
        <v>121</v>
      </c>
      <c r="B51" s="939" t="s">
        <v>146</v>
      </c>
      <c r="C51" s="984"/>
      <c r="E51" s="936" t="e">
        <f>'9.3.1. sz. mell EOI'!C51+#REF!</f>
        <v>#REF!</v>
      </c>
      <c r="F51" s="936" t="e">
        <f t="shared" si="0"/>
        <v>#REF!</v>
      </c>
    </row>
    <row r="52" spans="1:6" s="932" customFormat="1" ht="12" customHeight="1" thickBot="1" x14ac:dyDescent="0.25">
      <c r="A52" s="946" t="s">
        <v>20</v>
      </c>
      <c r="B52" s="942" t="s">
        <v>353</v>
      </c>
      <c r="C52" s="982">
        <f>SUM(C53:C55)</f>
        <v>3121190</v>
      </c>
      <c r="E52" s="936" t="e">
        <f>'9.3.1. sz. mell EOI'!C52+#REF!</f>
        <v>#REF!</v>
      </c>
      <c r="F52" s="936" t="e">
        <f t="shared" si="0"/>
        <v>#REF!</v>
      </c>
    </row>
    <row r="53" spans="1:6" ht="12" customHeight="1" x14ac:dyDescent="0.2">
      <c r="A53" s="971" t="s">
        <v>101</v>
      </c>
      <c r="B53" s="940" t="s">
        <v>163</v>
      </c>
      <c r="C53" s="989">
        <f>1926590+110000+110000+85000</f>
        <v>2231590</v>
      </c>
      <c r="E53" s="936" t="e">
        <f>'9.3.1. sz. mell EOI'!C53+#REF!</f>
        <v>#REF!</v>
      </c>
      <c r="F53" s="936" t="e">
        <f t="shared" si="0"/>
        <v>#REF!</v>
      </c>
    </row>
    <row r="54" spans="1:6" ht="12" customHeight="1" x14ac:dyDescent="0.2">
      <c r="A54" s="971" t="s">
        <v>102</v>
      </c>
      <c r="B54" s="939" t="s">
        <v>148</v>
      </c>
      <c r="C54" s="984">
        <f>965200-75600</f>
        <v>889600</v>
      </c>
      <c r="E54" s="936" t="e">
        <f>'9.3.1. sz. mell EOI'!C54+#REF!</f>
        <v>#REF!</v>
      </c>
      <c r="F54" s="936" t="e">
        <f t="shared" si="0"/>
        <v>#REF!</v>
      </c>
    </row>
    <row r="55" spans="1:6" ht="12" customHeight="1" x14ac:dyDescent="0.2">
      <c r="A55" s="971" t="s">
        <v>103</v>
      </c>
      <c r="B55" s="939" t="s">
        <v>59</v>
      </c>
      <c r="C55" s="984"/>
      <c r="E55" s="936" t="e">
        <f>'9.3.1. sz. mell EOI'!C55+#REF!</f>
        <v>#REF!</v>
      </c>
      <c r="F55" s="936" t="e">
        <f t="shared" si="0"/>
        <v>#REF!</v>
      </c>
    </row>
    <row r="56" spans="1:6" ht="15" customHeight="1" thickBot="1" x14ac:dyDescent="0.25">
      <c r="A56" s="971" t="s">
        <v>104</v>
      </c>
      <c r="B56" s="939" t="s">
        <v>523</v>
      </c>
      <c r="C56" s="984"/>
      <c r="E56" s="936" t="e">
        <f>'9.3.1. sz. mell EOI'!C56+#REF!</f>
        <v>#REF!</v>
      </c>
      <c r="F56" s="936" t="e">
        <f t="shared" si="0"/>
        <v>#REF!</v>
      </c>
    </row>
    <row r="57" spans="1:6" ht="13.5" thickBot="1" x14ac:dyDescent="0.25">
      <c r="A57" s="946" t="s">
        <v>21</v>
      </c>
      <c r="B57" s="942" t="s">
        <v>13</v>
      </c>
      <c r="C57" s="988"/>
      <c r="E57" s="936" t="e">
        <f>'9.3.1. sz. mell EOI'!C57+#REF!</f>
        <v>#REF!</v>
      </c>
      <c r="F57" s="936" t="e">
        <f t="shared" si="0"/>
        <v>#REF!</v>
      </c>
    </row>
    <row r="58" spans="1:6" ht="15" customHeight="1" thickBot="1" x14ac:dyDescent="0.25">
      <c r="A58" s="946" t="s">
        <v>22</v>
      </c>
      <c r="B58" s="962" t="s">
        <v>524</v>
      </c>
      <c r="C58" s="1000">
        <f>+C46+C52+C57</f>
        <v>327701255</v>
      </c>
      <c r="E58" s="936" t="e">
        <f>'9.3.1. sz. mell EOI'!C58+#REF!</f>
        <v>#REF!</v>
      </c>
      <c r="F58" s="936" t="e">
        <f t="shared" si="0"/>
        <v>#REF!</v>
      </c>
    </row>
    <row r="59" spans="1:6" ht="14.25" customHeight="1" thickBot="1" x14ac:dyDescent="0.25">
      <c r="C59" s="996"/>
      <c r="E59" s="936" t="e">
        <f>'9.3.1. sz. mell EOI'!C59+#REF!</f>
        <v>#REF!</v>
      </c>
      <c r="F59" s="936" t="e">
        <f t="shared" si="0"/>
        <v>#REF!</v>
      </c>
    </row>
    <row r="60" spans="1:6" x14ac:dyDescent="0.2">
      <c r="A60" s="753" t="s">
        <v>517</v>
      </c>
      <c r="B60" s="754"/>
      <c r="C60" s="755">
        <v>55</v>
      </c>
      <c r="E60" s="936" t="e">
        <f>'9.3.1. sz. mell EOI'!C60+#REF!</f>
        <v>#REF!</v>
      </c>
      <c r="F60" s="936" t="e">
        <f t="shared" si="0"/>
        <v>#REF!</v>
      </c>
    </row>
    <row r="61" spans="1:6" ht="13.5" thickBot="1" x14ac:dyDescent="0.25">
      <c r="A61" s="1194" t="s">
        <v>779</v>
      </c>
      <c r="B61" s="1195"/>
      <c r="C61" s="771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4/2020.(II.28.)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</sheetPr>
  <dimension ref="A1:C61"/>
  <sheetViews>
    <sheetView view="pageLayout" topLeftCell="B1" zoomScaleNormal="100" workbookViewId="0">
      <selection activeCell="C50" sqref="C50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926" customFormat="1" ht="21" customHeight="1" thickBot="1" x14ac:dyDescent="0.25">
      <c r="A1" s="947"/>
      <c r="B1" s="948"/>
      <c r="C1" s="975"/>
    </row>
    <row r="2" spans="1:3" s="928" customFormat="1" ht="33.75" customHeight="1" x14ac:dyDescent="0.2">
      <c r="A2" s="967" t="s">
        <v>158</v>
      </c>
      <c r="B2" s="965" t="s">
        <v>393</v>
      </c>
      <c r="C2" s="976" t="s">
        <v>62</v>
      </c>
    </row>
    <row r="3" spans="1:3" s="928" customFormat="1" ht="24.75" thickBot="1" x14ac:dyDescent="0.25">
      <c r="A3" s="969" t="s">
        <v>157</v>
      </c>
      <c r="B3" s="966" t="s">
        <v>354</v>
      </c>
      <c r="C3" s="977" t="s">
        <v>61</v>
      </c>
    </row>
    <row r="4" spans="1:3" s="929" customFormat="1" ht="15.95" customHeight="1" thickBot="1" x14ac:dyDescent="0.3">
      <c r="A4" s="949"/>
      <c r="B4" s="949"/>
      <c r="C4" s="978" t="s">
        <v>553</v>
      </c>
    </row>
    <row r="5" spans="1:3" ht="13.5" thickBot="1" x14ac:dyDescent="0.25">
      <c r="A5" s="968" t="s">
        <v>159</v>
      </c>
      <c r="B5" s="950" t="s">
        <v>55</v>
      </c>
      <c r="C5" s="979" t="s">
        <v>56</v>
      </c>
    </row>
    <row r="6" spans="1:3" s="930" customFormat="1" ht="12.95" customHeight="1" thickBot="1" x14ac:dyDescent="0.25">
      <c r="A6" s="944" t="s">
        <v>443</v>
      </c>
      <c r="B6" s="945" t="s">
        <v>444</v>
      </c>
      <c r="C6" s="980" t="s">
        <v>445</v>
      </c>
    </row>
    <row r="7" spans="1:3" s="930" customFormat="1" ht="15.95" customHeight="1" thickBot="1" x14ac:dyDescent="0.25">
      <c r="A7" s="951"/>
      <c r="B7" s="952" t="s">
        <v>57</v>
      </c>
      <c r="C7" s="981"/>
    </row>
    <row r="8" spans="1:3" s="927" customFormat="1" ht="12" customHeight="1" thickBot="1" x14ac:dyDescent="0.25">
      <c r="A8" s="944" t="s">
        <v>19</v>
      </c>
      <c r="B8" s="953" t="s">
        <v>519</v>
      </c>
      <c r="C8" s="998">
        <f>SUM(C9:C19)</f>
        <v>8295318</v>
      </c>
    </row>
    <row r="9" spans="1:3" s="927" customFormat="1" ht="12" customHeight="1" x14ac:dyDescent="0.2">
      <c r="A9" s="970" t="s">
        <v>95</v>
      </c>
      <c r="B9" s="941" t="s">
        <v>212</v>
      </c>
      <c r="C9" s="983"/>
    </row>
    <row r="10" spans="1:3" s="927" customFormat="1" ht="12" customHeight="1" x14ac:dyDescent="0.2">
      <c r="A10" s="971" t="s">
        <v>96</v>
      </c>
      <c r="B10" s="939" t="s">
        <v>213</v>
      </c>
      <c r="C10" s="984">
        <v>600000</v>
      </c>
    </row>
    <row r="11" spans="1:3" s="927" customFormat="1" ht="12" customHeight="1" x14ac:dyDescent="0.2">
      <c r="A11" s="971" t="s">
        <v>97</v>
      </c>
      <c r="B11" s="939" t="s">
        <v>214</v>
      </c>
      <c r="C11" s="984">
        <f>4200000+5000+40000+600000</f>
        <v>4845000</v>
      </c>
    </row>
    <row r="12" spans="1:3" s="927" customFormat="1" ht="12" customHeight="1" x14ac:dyDescent="0.2">
      <c r="A12" s="971" t="s">
        <v>98</v>
      </c>
      <c r="B12" s="939" t="s">
        <v>215</v>
      </c>
      <c r="C12" s="984"/>
    </row>
    <row r="13" spans="1:3" s="927" customFormat="1" ht="12" customHeight="1" x14ac:dyDescent="0.2">
      <c r="A13" s="971" t="s">
        <v>121</v>
      </c>
      <c r="B13" s="939" t="s">
        <v>216</v>
      </c>
      <c r="C13" s="984">
        <v>862330</v>
      </c>
    </row>
    <row r="14" spans="1:3" s="927" customFormat="1" ht="12" customHeight="1" x14ac:dyDescent="0.2">
      <c r="A14" s="971" t="s">
        <v>99</v>
      </c>
      <c r="B14" s="939" t="s">
        <v>337</v>
      </c>
      <c r="C14" s="984">
        <f>1528829+1350+10800+162000</f>
        <v>1702979</v>
      </c>
    </row>
    <row r="15" spans="1:3" s="927" customFormat="1" ht="12" customHeight="1" x14ac:dyDescent="0.2">
      <c r="A15" s="971" t="s">
        <v>100</v>
      </c>
      <c r="B15" s="938" t="s">
        <v>338</v>
      </c>
      <c r="C15" s="984">
        <v>169000</v>
      </c>
    </row>
    <row r="16" spans="1:3" s="927" customFormat="1" ht="12" customHeight="1" x14ac:dyDescent="0.2">
      <c r="A16" s="971" t="s">
        <v>110</v>
      </c>
      <c r="B16" s="939" t="s">
        <v>219</v>
      </c>
      <c r="C16" s="985"/>
    </row>
    <row r="17" spans="1:3" s="931" customFormat="1" ht="12" customHeight="1" x14ac:dyDescent="0.2">
      <c r="A17" s="971" t="s">
        <v>111</v>
      </c>
      <c r="B17" s="939" t="s">
        <v>220</v>
      </c>
      <c r="C17" s="984"/>
    </row>
    <row r="18" spans="1:3" s="931" customFormat="1" ht="12" customHeight="1" x14ac:dyDescent="0.2">
      <c r="A18" s="971" t="s">
        <v>112</v>
      </c>
      <c r="B18" s="939" t="s">
        <v>449</v>
      </c>
      <c r="C18" s="986"/>
    </row>
    <row r="19" spans="1:3" s="931" customFormat="1" ht="12" customHeight="1" thickBot="1" x14ac:dyDescent="0.25">
      <c r="A19" s="971" t="s">
        <v>113</v>
      </c>
      <c r="B19" s="938" t="s">
        <v>221</v>
      </c>
      <c r="C19" s="1107">
        <f>1000+21833+33176+60000</f>
        <v>116009</v>
      </c>
    </row>
    <row r="20" spans="1:3" s="927" customFormat="1" ht="12" customHeight="1" thickBot="1" x14ac:dyDescent="0.25">
      <c r="A20" s="944" t="s">
        <v>20</v>
      </c>
      <c r="B20" s="953" t="s">
        <v>339</v>
      </c>
      <c r="C20" s="982">
        <f>SUM(C21:C23)</f>
        <v>0</v>
      </c>
    </row>
    <row r="21" spans="1:3" s="931" customFormat="1" ht="12" customHeight="1" x14ac:dyDescent="0.2">
      <c r="A21" s="971" t="s">
        <v>101</v>
      </c>
      <c r="B21" s="940" t="s">
        <v>190</v>
      </c>
      <c r="C21" s="987"/>
    </row>
    <row r="22" spans="1:3" s="931" customFormat="1" ht="12" customHeight="1" x14ac:dyDescent="0.2">
      <c r="A22" s="971" t="s">
        <v>102</v>
      </c>
      <c r="B22" s="939" t="s">
        <v>340</v>
      </c>
      <c r="C22" s="984"/>
    </row>
    <row r="23" spans="1:3" s="931" customFormat="1" ht="12" customHeight="1" x14ac:dyDescent="0.2">
      <c r="A23" s="971" t="s">
        <v>103</v>
      </c>
      <c r="B23" s="939" t="s">
        <v>341</v>
      </c>
      <c r="C23" s="680"/>
    </row>
    <row r="24" spans="1:3" s="931" customFormat="1" ht="12" customHeight="1" thickBot="1" x14ac:dyDescent="0.25">
      <c r="A24" s="971" t="s">
        <v>104</v>
      </c>
      <c r="B24" s="939" t="s">
        <v>520</v>
      </c>
      <c r="C24" s="984"/>
    </row>
    <row r="25" spans="1:3" s="931" customFormat="1" ht="12" customHeight="1" thickBot="1" x14ac:dyDescent="0.25">
      <c r="A25" s="946" t="s">
        <v>21</v>
      </c>
      <c r="B25" s="942" t="s">
        <v>135</v>
      </c>
      <c r="C25" s="988"/>
    </row>
    <row r="26" spans="1:3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</row>
    <row r="27" spans="1:3" s="931" customFormat="1" ht="12" customHeight="1" x14ac:dyDescent="0.2">
      <c r="A27" s="972" t="s">
        <v>200</v>
      </c>
      <c r="B27" s="973" t="s">
        <v>195</v>
      </c>
      <c r="C27" s="989"/>
    </row>
    <row r="28" spans="1:3" s="931" customFormat="1" ht="12" customHeight="1" x14ac:dyDescent="0.2">
      <c r="A28" s="972" t="s">
        <v>203</v>
      </c>
      <c r="B28" s="973" t="s">
        <v>340</v>
      </c>
      <c r="C28" s="987"/>
    </row>
    <row r="29" spans="1:3" s="931" customFormat="1" ht="12" customHeight="1" x14ac:dyDescent="0.2">
      <c r="A29" s="972" t="s">
        <v>204</v>
      </c>
      <c r="B29" s="974" t="s">
        <v>342</v>
      </c>
      <c r="C29" s="987"/>
    </row>
    <row r="30" spans="1:3" s="931" customFormat="1" ht="12" customHeight="1" thickBot="1" x14ac:dyDescent="0.25">
      <c r="A30" s="971" t="s">
        <v>205</v>
      </c>
      <c r="B30" s="943" t="s">
        <v>522</v>
      </c>
      <c r="C30" s="990"/>
    </row>
    <row r="31" spans="1:3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</row>
    <row r="32" spans="1:3" s="931" customFormat="1" ht="12" customHeight="1" x14ac:dyDescent="0.2">
      <c r="A32" s="972" t="s">
        <v>88</v>
      </c>
      <c r="B32" s="973" t="s">
        <v>226</v>
      </c>
      <c r="C32" s="989"/>
    </row>
    <row r="33" spans="1:3" s="931" customFormat="1" ht="12" customHeight="1" x14ac:dyDescent="0.2">
      <c r="A33" s="972" t="s">
        <v>89</v>
      </c>
      <c r="B33" s="974" t="s">
        <v>227</v>
      </c>
      <c r="C33" s="985"/>
    </row>
    <row r="34" spans="1:3" s="927" customFormat="1" ht="12" customHeight="1" thickBot="1" x14ac:dyDescent="0.25">
      <c r="A34" s="971" t="s">
        <v>90</v>
      </c>
      <c r="B34" s="943" t="s">
        <v>228</v>
      </c>
      <c r="C34" s="990"/>
    </row>
    <row r="35" spans="1:3" s="927" customFormat="1" ht="12" customHeight="1" thickBot="1" x14ac:dyDescent="0.25">
      <c r="A35" s="946" t="s">
        <v>24</v>
      </c>
      <c r="B35" s="942" t="s">
        <v>314</v>
      </c>
      <c r="C35" s="988">
        <v>60000</v>
      </c>
    </row>
    <row r="36" spans="1:3" s="927" customFormat="1" ht="12" customHeight="1" thickBot="1" x14ac:dyDescent="0.25">
      <c r="A36" s="946" t="s">
        <v>25</v>
      </c>
      <c r="B36" s="942" t="s">
        <v>344</v>
      </c>
      <c r="C36" s="991"/>
    </row>
    <row r="37" spans="1:3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8355318</v>
      </c>
    </row>
    <row r="38" spans="1:3" s="927" customFormat="1" ht="12" customHeight="1" thickBot="1" x14ac:dyDescent="0.25">
      <c r="A38" s="954" t="s">
        <v>27</v>
      </c>
      <c r="B38" s="942" t="s">
        <v>346</v>
      </c>
      <c r="C38" s="999">
        <f>+C39+C40+C41</f>
        <v>319281087</v>
      </c>
    </row>
    <row r="39" spans="1:3" s="927" customFormat="1" ht="12" customHeight="1" x14ac:dyDescent="0.2">
      <c r="A39" s="972" t="s">
        <v>347</v>
      </c>
      <c r="B39" s="973" t="s">
        <v>172</v>
      </c>
      <c r="C39" s="989">
        <v>1054835</v>
      </c>
    </row>
    <row r="40" spans="1:3" s="931" customFormat="1" ht="12" customHeight="1" x14ac:dyDescent="0.2">
      <c r="A40" s="972" t="s">
        <v>348</v>
      </c>
      <c r="B40" s="974" t="s">
        <v>10</v>
      </c>
      <c r="C40" s="985"/>
    </row>
    <row r="41" spans="1:3" s="931" customFormat="1" ht="15" customHeight="1" thickBot="1" x14ac:dyDescent="0.25">
      <c r="A41" s="971" t="s">
        <v>349</v>
      </c>
      <c r="B41" s="943" t="s">
        <v>350</v>
      </c>
      <c r="C41" s="1028">
        <f>328107890+80000+4185664+15000+110000+110000-1943023+2120721-14560000</f>
        <v>318226252</v>
      </c>
    </row>
    <row r="42" spans="1:3" s="931" customFormat="1" ht="15" customHeight="1" thickBot="1" x14ac:dyDescent="0.25">
      <c r="A42" s="954" t="s">
        <v>28</v>
      </c>
      <c r="B42" s="955" t="s">
        <v>351</v>
      </c>
      <c r="C42" s="999">
        <f>+C37+C38</f>
        <v>327636405</v>
      </c>
    </row>
    <row r="43" spans="1:3" x14ac:dyDescent="0.2">
      <c r="A43" s="956"/>
      <c r="B43" s="957"/>
      <c r="C43" s="994"/>
    </row>
    <row r="44" spans="1:3" s="930" customFormat="1" ht="16.5" customHeight="1" thickBot="1" x14ac:dyDescent="0.25">
      <c r="A44" s="958"/>
      <c r="B44" s="959"/>
      <c r="C44" s="995"/>
    </row>
    <row r="45" spans="1:3" s="932" customFormat="1" ht="12" customHeight="1" thickBot="1" x14ac:dyDescent="0.25">
      <c r="A45" s="960"/>
      <c r="B45" s="961" t="s">
        <v>58</v>
      </c>
      <c r="C45" s="993"/>
    </row>
    <row r="46" spans="1:3" ht="12" customHeight="1" thickBot="1" x14ac:dyDescent="0.25">
      <c r="A46" s="946" t="s">
        <v>19</v>
      </c>
      <c r="B46" s="942" t="s">
        <v>352</v>
      </c>
      <c r="C46" s="998">
        <f>SUM(C47:C51)</f>
        <v>324524064</v>
      </c>
    </row>
    <row r="47" spans="1:3" ht="12" customHeight="1" x14ac:dyDescent="0.2">
      <c r="A47" s="971" t="s">
        <v>95</v>
      </c>
      <c r="B47" s="940" t="s">
        <v>49</v>
      </c>
      <c r="C47" s="1017">
        <f>208655734+585000+3502648+18270+28235+1689975-920500-585000-7500000</f>
        <v>205474362</v>
      </c>
    </row>
    <row r="48" spans="1:3" ht="12" customHeight="1" x14ac:dyDescent="0.2">
      <c r="A48" s="971" t="s">
        <v>96</v>
      </c>
      <c r="B48" s="939" t="s">
        <v>144</v>
      </c>
      <c r="C48" s="1018">
        <f>44850807+114075+3563+683016-1943023+4941+295746-179500-114075-1000000-1000000</f>
        <v>41715550</v>
      </c>
    </row>
    <row r="49" spans="1:3" ht="12" customHeight="1" x14ac:dyDescent="0.2">
      <c r="A49" s="971" t="s">
        <v>97</v>
      </c>
      <c r="B49" s="939" t="s">
        <v>120</v>
      </c>
      <c r="C49" s="1018">
        <f>80125553+8849+80000+81950+60000+50800+15000+762000+1100000+50000-5000000</f>
        <v>77334152</v>
      </c>
    </row>
    <row r="50" spans="1:3" ht="12" customHeight="1" x14ac:dyDescent="0.2">
      <c r="A50" s="971" t="s">
        <v>98</v>
      </c>
      <c r="B50" s="939" t="s">
        <v>145</v>
      </c>
      <c r="C50" s="984"/>
    </row>
    <row r="51" spans="1:3" ht="12" customHeight="1" thickBot="1" x14ac:dyDescent="0.25">
      <c r="A51" s="971" t="s">
        <v>121</v>
      </c>
      <c r="B51" s="939" t="s">
        <v>146</v>
      </c>
      <c r="C51" s="984"/>
    </row>
    <row r="52" spans="1:3" s="932" customFormat="1" ht="12" customHeight="1" thickBot="1" x14ac:dyDescent="0.25">
      <c r="A52" s="946" t="s">
        <v>20</v>
      </c>
      <c r="B52" s="942" t="s">
        <v>353</v>
      </c>
      <c r="C52" s="982">
        <f>SUM(C53:C55)</f>
        <v>3121190</v>
      </c>
    </row>
    <row r="53" spans="1:3" ht="12" customHeight="1" x14ac:dyDescent="0.2">
      <c r="A53" s="971" t="s">
        <v>101</v>
      </c>
      <c r="B53" s="940" t="s">
        <v>163</v>
      </c>
      <c r="C53" s="989">
        <f>1926590+110000+110000+85000</f>
        <v>2231590</v>
      </c>
    </row>
    <row r="54" spans="1:3" ht="12" customHeight="1" x14ac:dyDescent="0.2">
      <c r="A54" s="971" t="s">
        <v>102</v>
      </c>
      <c r="B54" s="939" t="s">
        <v>148</v>
      </c>
      <c r="C54" s="984">
        <f>965200-75600</f>
        <v>889600</v>
      </c>
    </row>
    <row r="55" spans="1:3" ht="12" customHeight="1" x14ac:dyDescent="0.2">
      <c r="A55" s="971" t="s">
        <v>103</v>
      </c>
      <c r="B55" s="939" t="s">
        <v>59</v>
      </c>
      <c r="C55" s="984"/>
    </row>
    <row r="56" spans="1:3" ht="15" customHeight="1" thickBot="1" x14ac:dyDescent="0.25">
      <c r="A56" s="971" t="s">
        <v>104</v>
      </c>
      <c r="B56" s="939" t="s">
        <v>523</v>
      </c>
      <c r="C56" s="984"/>
    </row>
    <row r="57" spans="1:3" ht="13.5" thickBot="1" x14ac:dyDescent="0.25">
      <c r="A57" s="946" t="s">
        <v>21</v>
      </c>
      <c r="B57" s="942" t="s">
        <v>13</v>
      </c>
      <c r="C57" s="988"/>
    </row>
    <row r="58" spans="1:3" ht="15" customHeight="1" thickBot="1" x14ac:dyDescent="0.25">
      <c r="A58" s="946" t="s">
        <v>22</v>
      </c>
      <c r="B58" s="962" t="s">
        <v>524</v>
      </c>
      <c r="C58" s="1000">
        <f>+C46+C52+C57</f>
        <v>327645254</v>
      </c>
    </row>
    <row r="59" spans="1:3" ht="14.25" customHeight="1" thickBot="1" x14ac:dyDescent="0.25">
      <c r="C59" s="996"/>
    </row>
    <row r="60" spans="1:3" x14ac:dyDescent="0.2">
      <c r="A60" s="753" t="s">
        <v>517</v>
      </c>
      <c r="B60" s="754"/>
      <c r="C60" s="755">
        <v>55</v>
      </c>
    </row>
    <row r="61" spans="1:3" ht="15.6" customHeight="1" thickBot="1" x14ac:dyDescent="0.25">
      <c r="A61" s="1194" t="s">
        <v>779</v>
      </c>
      <c r="B61" s="1195"/>
      <c r="C61" s="771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4/2020.(II.28.)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1"/>
  <sheetViews>
    <sheetView view="pageLayout" topLeftCell="B1" zoomScaleNormal="100" workbookViewId="0">
      <selection activeCell="H41" sqref="H41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0" style="106" hidden="1" customWidth="1"/>
    <col min="5" max="5" width="11.83203125" style="933" hidden="1" customWidth="1"/>
    <col min="6" max="6" width="12.6640625" style="933" hidden="1" customWidth="1"/>
    <col min="7" max="7" width="9.33203125" style="106" hidden="1" customWidth="1"/>
    <col min="8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33203125" style="106"/>
    <col min="261" max="262" width="0" style="106" hidden="1" customWidth="1"/>
    <col min="263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33203125" style="106"/>
    <col min="517" max="518" width="0" style="106" hidden="1" customWidth="1"/>
    <col min="519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33203125" style="106"/>
    <col min="773" max="774" width="0" style="106" hidden="1" customWidth="1"/>
    <col min="775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33203125" style="106"/>
    <col min="1029" max="1030" width="0" style="106" hidden="1" customWidth="1"/>
    <col min="1031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33203125" style="106"/>
    <col min="1285" max="1286" width="0" style="106" hidden="1" customWidth="1"/>
    <col min="1287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33203125" style="106"/>
    <col min="1541" max="1542" width="0" style="106" hidden="1" customWidth="1"/>
    <col min="1543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33203125" style="106"/>
    <col min="1797" max="1798" width="0" style="106" hidden="1" customWidth="1"/>
    <col min="1799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33203125" style="106"/>
    <col min="2053" max="2054" width="0" style="106" hidden="1" customWidth="1"/>
    <col min="2055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33203125" style="106"/>
    <col min="2309" max="2310" width="0" style="106" hidden="1" customWidth="1"/>
    <col min="2311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33203125" style="106"/>
    <col min="2565" max="2566" width="0" style="106" hidden="1" customWidth="1"/>
    <col min="2567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33203125" style="106"/>
    <col min="2821" max="2822" width="0" style="106" hidden="1" customWidth="1"/>
    <col min="2823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33203125" style="106"/>
    <col min="3077" max="3078" width="0" style="106" hidden="1" customWidth="1"/>
    <col min="3079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33203125" style="106"/>
    <col min="3333" max="3334" width="0" style="106" hidden="1" customWidth="1"/>
    <col min="3335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33203125" style="106"/>
    <col min="3589" max="3590" width="0" style="106" hidden="1" customWidth="1"/>
    <col min="3591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33203125" style="106"/>
    <col min="3845" max="3846" width="0" style="106" hidden="1" customWidth="1"/>
    <col min="3847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33203125" style="106"/>
    <col min="4101" max="4102" width="0" style="106" hidden="1" customWidth="1"/>
    <col min="4103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33203125" style="106"/>
    <col min="4357" max="4358" width="0" style="106" hidden="1" customWidth="1"/>
    <col min="4359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33203125" style="106"/>
    <col min="4613" max="4614" width="0" style="106" hidden="1" customWidth="1"/>
    <col min="4615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33203125" style="106"/>
    <col min="4869" max="4870" width="0" style="106" hidden="1" customWidth="1"/>
    <col min="4871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33203125" style="106"/>
    <col min="5125" max="5126" width="0" style="106" hidden="1" customWidth="1"/>
    <col min="5127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33203125" style="106"/>
    <col min="5381" max="5382" width="0" style="106" hidden="1" customWidth="1"/>
    <col min="5383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33203125" style="106"/>
    <col min="5637" max="5638" width="0" style="106" hidden="1" customWidth="1"/>
    <col min="5639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33203125" style="106"/>
    <col min="5893" max="5894" width="0" style="106" hidden="1" customWidth="1"/>
    <col min="5895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33203125" style="106"/>
    <col min="6149" max="6150" width="0" style="106" hidden="1" customWidth="1"/>
    <col min="6151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33203125" style="106"/>
    <col min="6405" max="6406" width="0" style="106" hidden="1" customWidth="1"/>
    <col min="6407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33203125" style="106"/>
    <col min="6661" max="6662" width="0" style="106" hidden="1" customWidth="1"/>
    <col min="6663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33203125" style="106"/>
    <col min="6917" max="6918" width="0" style="106" hidden="1" customWidth="1"/>
    <col min="6919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33203125" style="106"/>
    <col min="7173" max="7174" width="0" style="106" hidden="1" customWidth="1"/>
    <col min="7175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33203125" style="106"/>
    <col min="7429" max="7430" width="0" style="106" hidden="1" customWidth="1"/>
    <col min="7431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33203125" style="106"/>
    <col min="7685" max="7686" width="0" style="106" hidden="1" customWidth="1"/>
    <col min="7687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33203125" style="106"/>
    <col min="7941" max="7942" width="0" style="106" hidden="1" customWidth="1"/>
    <col min="7943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33203125" style="106"/>
    <col min="8197" max="8198" width="0" style="106" hidden="1" customWidth="1"/>
    <col min="8199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33203125" style="106"/>
    <col min="8453" max="8454" width="0" style="106" hidden="1" customWidth="1"/>
    <col min="8455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33203125" style="106"/>
    <col min="8709" max="8710" width="0" style="106" hidden="1" customWidth="1"/>
    <col min="8711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33203125" style="106"/>
    <col min="8965" max="8966" width="0" style="106" hidden="1" customWidth="1"/>
    <col min="8967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33203125" style="106"/>
    <col min="9221" max="9222" width="0" style="106" hidden="1" customWidth="1"/>
    <col min="9223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33203125" style="106"/>
    <col min="9477" max="9478" width="0" style="106" hidden="1" customWidth="1"/>
    <col min="9479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33203125" style="106"/>
    <col min="9733" max="9734" width="0" style="106" hidden="1" customWidth="1"/>
    <col min="9735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33203125" style="106"/>
    <col min="9989" max="9990" width="0" style="106" hidden="1" customWidth="1"/>
    <col min="9991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33203125" style="106"/>
    <col min="10245" max="10246" width="0" style="106" hidden="1" customWidth="1"/>
    <col min="10247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33203125" style="106"/>
    <col min="10501" max="10502" width="0" style="106" hidden="1" customWidth="1"/>
    <col min="10503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33203125" style="106"/>
    <col min="10757" max="10758" width="0" style="106" hidden="1" customWidth="1"/>
    <col min="10759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33203125" style="106"/>
    <col min="11013" max="11014" width="0" style="106" hidden="1" customWidth="1"/>
    <col min="11015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33203125" style="106"/>
    <col min="11269" max="11270" width="0" style="106" hidden="1" customWidth="1"/>
    <col min="11271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33203125" style="106"/>
    <col min="11525" max="11526" width="0" style="106" hidden="1" customWidth="1"/>
    <col min="11527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33203125" style="106"/>
    <col min="11781" max="11782" width="0" style="106" hidden="1" customWidth="1"/>
    <col min="11783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33203125" style="106"/>
    <col min="12037" max="12038" width="0" style="106" hidden="1" customWidth="1"/>
    <col min="12039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33203125" style="106"/>
    <col min="12293" max="12294" width="0" style="106" hidden="1" customWidth="1"/>
    <col min="12295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33203125" style="106"/>
    <col min="12549" max="12550" width="0" style="106" hidden="1" customWidth="1"/>
    <col min="12551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33203125" style="106"/>
    <col min="12805" max="12806" width="0" style="106" hidden="1" customWidth="1"/>
    <col min="12807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33203125" style="106"/>
    <col min="13061" max="13062" width="0" style="106" hidden="1" customWidth="1"/>
    <col min="13063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33203125" style="106"/>
    <col min="13317" max="13318" width="0" style="106" hidden="1" customWidth="1"/>
    <col min="13319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33203125" style="106"/>
    <col min="13573" max="13574" width="0" style="106" hidden="1" customWidth="1"/>
    <col min="13575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33203125" style="106"/>
    <col min="13829" max="13830" width="0" style="106" hidden="1" customWidth="1"/>
    <col min="13831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33203125" style="106"/>
    <col min="14085" max="14086" width="0" style="106" hidden="1" customWidth="1"/>
    <col min="14087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33203125" style="106"/>
    <col min="14341" max="14342" width="0" style="106" hidden="1" customWidth="1"/>
    <col min="14343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33203125" style="106"/>
    <col min="14597" max="14598" width="0" style="106" hidden="1" customWidth="1"/>
    <col min="14599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33203125" style="106"/>
    <col min="14853" max="14854" width="0" style="106" hidden="1" customWidth="1"/>
    <col min="14855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33203125" style="106"/>
    <col min="15109" max="15110" width="0" style="106" hidden="1" customWidth="1"/>
    <col min="15111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33203125" style="106"/>
    <col min="15365" max="15366" width="0" style="106" hidden="1" customWidth="1"/>
    <col min="15367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33203125" style="106"/>
    <col min="15621" max="15622" width="0" style="106" hidden="1" customWidth="1"/>
    <col min="15623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33203125" style="106"/>
    <col min="15877" max="15878" width="0" style="106" hidden="1" customWidth="1"/>
    <col min="15879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33203125" style="106"/>
    <col min="16133" max="16134" width="0" style="106" hidden="1" customWidth="1"/>
    <col min="16135" max="16384" width="9.33203125" style="106"/>
  </cols>
  <sheetData>
    <row r="1" spans="1:6" s="926" customFormat="1" ht="21" customHeight="1" thickBot="1" x14ac:dyDescent="0.25">
      <c r="A1" s="947"/>
      <c r="B1" s="948"/>
      <c r="C1" s="975"/>
      <c r="E1" s="933"/>
      <c r="F1" s="933"/>
    </row>
    <row r="2" spans="1:6" s="928" customFormat="1" ht="36" customHeight="1" x14ac:dyDescent="0.2">
      <c r="A2" s="967" t="s">
        <v>158</v>
      </c>
      <c r="B2" s="965" t="s">
        <v>551</v>
      </c>
      <c r="C2" s="976" t="s">
        <v>62</v>
      </c>
      <c r="E2" s="934"/>
      <c r="F2" s="934"/>
    </row>
    <row r="3" spans="1:6" s="928" customFormat="1" ht="24.75" thickBot="1" x14ac:dyDescent="0.25">
      <c r="A3" s="969" t="s">
        <v>157</v>
      </c>
      <c r="B3" s="966" t="s">
        <v>336</v>
      </c>
      <c r="C3" s="977" t="s">
        <v>54</v>
      </c>
      <c r="E3" s="934"/>
      <c r="F3" s="934"/>
    </row>
    <row r="4" spans="1:6" s="929" customFormat="1" ht="15.95" customHeight="1" thickBot="1" x14ac:dyDescent="0.3">
      <c r="A4" s="949"/>
      <c r="B4" s="949"/>
      <c r="C4" s="978" t="s">
        <v>553</v>
      </c>
      <c r="E4" s="934"/>
      <c r="F4" s="934"/>
    </row>
    <row r="5" spans="1:6" ht="13.5" thickBot="1" x14ac:dyDescent="0.25">
      <c r="A5" s="968" t="s">
        <v>159</v>
      </c>
      <c r="B5" s="950" t="s">
        <v>55</v>
      </c>
      <c r="C5" s="979" t="s">
        <v>56</v>
      </c>
      <c r="D5" s="937"/>
      <c r="E5" s="937"/>
      <c r="F5" s="937"/>
    </row>
    <row r="6" spans="1:6" s="930" customFormat="1" ht="12.95" customHeight="1" thickBot="1" x14ac:dyDescent="0.25">
      <c r="A6" s="944" t="s">
        <v>443</v>
      </c>
      <c r="B6" s="945" t="s">
        <v>444</v>
      </c>
      <c r="C6" s="980" t="s">
        <v>445</v>
      </c>
      <c r="E6" s="935"/>
      <c r="F6" s="935"/>
    </row>
    <row r="7" spans="1:6" s="930" customFormat="1" ht="15.95" customHeight="1" thickBot="1" x14ac:dyDescent="0.25">
      <c r="A7" s="951"/>
      <c r="B7" s="952" t="s">
        <v>57</v>
      </c>
      <c r="C7" s="981"/>
      <c r="E7" s="935"/>
      <c r="F7" s="935"/>
    </row>
    <row r="8" spans="1:6" s="927" customFormat="1" ht="12" customHeight="1" thickBot="1" x14ac:dyDescent="0.25">
      <c r="A8" s="944" t="s">
        <v>19</v>
      </c>
      <c r="B8" s="953" t="s">
        <v>519</v>
      </c>
      <c r="C8" s="982">
        <f>SUM(C9:C19)</f>
        <v>11113300</v>
      </c>
      <c r="E8" s="936">
        <v>11050735</v>
      </c>
      <c r="F8" s="936">
        <v>0</v>
      </c>
    </row>
    <row r="9" spans="1:6" s="927" customFormat="1" ht="12" customHeight="1" x14ac:dyDescent="0.2">
      <c r="A9" s="970" t="s">
        <v>95</v>
      </c>
      <c r="B9" s="941" t="s">
        <v>212</v>
      </c>
      <c r="C9" s="983">
        <v>20000</v>
      </c>
      <c r="E9" s="936">
        <v>20000</v>
      </c>
      <c r="F9" s="936">
        <v>0</v>
      </c>
    </row>
    <row r="10" spans="1:6" s="927" customFormat="1" ht="12" customHeight="1" x14ac:dyDescent="0.2">
      <c r="A10" s="971" t="s">
        <v>96</v>
      </c>
      <c r="B10" s="939" t="s">
        <v>213</v>
      </c>
      <c r="C10" s="984">
        <f>9324990-16879</f>
        <v>9308111</v>
      </c>
      <c r="E10" s="936">
        <v>9324990</v>
      </c>
      <c r="F10" s="936">
        <v>0</v>
      </c>
    </row>
    <row r="11" spans="1:6" s="927" customFormat="1" ht="12" customHeight="1" x14ac:dyDescent="0.2">
      <c r="A11" s="971" t="s">
        <v>97</v>
      </c>
      <c r="B11" s="939" t="s">
        <v>214</v>
      </c>
      <c r="C11" s="984">
        <v>50000</v>
      </c>
      <c r="E11" s="936">
        <v>50000</v>
      </c>
      <c r="F11" s="936">
        <v>0</v>
      </c>
    </row>
    <row r="12" spans="1:6" s="927" customFormat="1" ht="12" customHeight="1" x14ac:dyDescent="0.2">
      <c r="A12" s="971" t="s">
        <v>98</v>
      </c>
      <c r="B12" s="939" t="s">
        <v>215</v>
      </c>
      <c r="C12" s="984"/>
      <c r="E12" s="936">
        <v>0</v>
      </c>
      <c r="F12" s="936">
        <v>0</v>
      </c>
    </row>
    <row r="13" spans="1:6" s="927" customFormat="1" ht="12" customHeight="1" x14ac:dyDescent="0.2">
      <c r="A13" s="971" t="s">
        <v>121</v>
      </c>
      <c r="B13" s="939" t="s">
        <v>216</v>
      </c>
      <c r="C13" s="984"/>
      <c r="E13" s="936">
        <v>0</v>
      </c>
      <c r="F13" s="936">
        <v>0</v>
      </c>
    </row>
    <row r="14" spans="1:6" s="927" customFormat="1" ht="12" customHeight="1" x14ac:dyDescent="0.2">
      <c r="A14" s="971" t="s">
        <v>99</v>
      </c>
      <c r="B14" s="939" t="s">
        <v>337</v>
      </c>
      <c r="C14" s="984">
        <f>1005745-4556</f>
        <v>1001189</v>
      </c>
      <c r="E14" s="936">
        <v>1005745</v>
      </c>
      <c r="F14" s="936">
        <v>0</v>
      </c>
    </row>
    <row r="15" spans="1:6" s="927" customFormat="1" ht="12" customHeight="1" x14ac:dyDescent="0.2">
      <c r="A15" s="971" t="s">
        <v>100</v>
      </c>
      <c r="B15" s="938" t="s">
        <v>338</v>
      </c>
      <c r="C15" s="984">
        <v>650000</v>
      </c>
      <c r="E15" s="936">
        <v>650000</v>
      </c>
      <c r="F15" s="936">
        <v>0</v>
      </c>
    </row>
    <row r="16" spans="1:6" s="927" customFormat="1" ht="12" customHeight="1" x14ac:dyDescent="0.2">
      <c r="A16" s="971" t="s">
        <v>110</v>
      </c>
      <c r="B16" s="939" t="s">
        <v>219</v>
      </c>
      <c r="C16" s="985"/>
      <c r="E16" s="936">
        <v>0</v>
      </c>
      <c r="F16" s="936">
        <v>0</v>
      </c>
    </row>
    <row r="17" spans="1:6" s="931" customFormat="1" ht="12" customHeight="1" x14ac:dyDescent="0.2">
      <c r="A17" s="971" t="s">
        <v>111</v>
      </c>
      <c r="B17" s="939" t="s">
        <v>220</v>
      </c>
      <c r="C17" s="984"/>
      <c r="E17" s="936">
        <v>0</v>
      </c>
      <c r="F17" s="936">
        <v>0</v>
      </c>
    </row>
    <row r="18" spans="1:6" s="931" customFormat="1" ht="12" customHeight="1" x14ac:dyDescent="0.2">
      <c r="A18" s="971" t="s">
        <v>112</v>
      </c>
      <c r="B18" s="939" t="s">
        <v>449</v>
      </c>
      <c r="C18" s="986"/>
      <c r="E18" s="936">
        <v>0</v>
      </c>
      <c r="F18" s="936">
        <v>0</v>
      </c>
    </row>
    <row r="19" spans="1:6" s="931" customFormat="1" ht="12" customHeight="1" thickBot="1" x14ac:dyDescent="0.25">
      <c r="A19" s="971" t="s">
        <v>113</v>
      </c>
      <c r="B19" s="938" t="s">
        <v>221</v>
      </c>
      <c r="C19" s="986">
        <v>84000</v>
      </c>
      <c r="E19" s="936">
        <v>0</v>
      </c>
      <c r="F19" s="936">
        <v>0</v>
      </c>
    </row>
    <row r="20" spans="1:6" s="927" customFormat="1" ht="12" customHeight="1" thickBot="1" x14ac:dyDescent="0.25">
      <c r="A20" s="944" t="s">
        <v>20</v>
      </c>
      <c r="B20" s="953" t="s">
        <v>339</v>
      </c>
      <c r="C20" s="982">
        <f>SUM(C21:C23)</f>
        <v>667021</v>
      </c>
      <c r="E20" s="936">
        <v>458250</v>
      </c>
      <c r="F20" s="936">
        <v>0</v>
      </c>
    </row>
    <row r="21" spans="1:6" s="931" customFormat="1" ht="12" customHeight="1" x14ac:dyDescent="0.2">
      <c r="A21" s="971" t="s">
        <v>101</v>
      </c>
      <c r="B21" s="940" t="s">
        <v>190</v>
      </c>
      <c r="C21" s="984"/>
      <c r="E21" s="936">
        <v>0</v>
      </c>
      <c r="F21" s="936">
        <v>0</v>
      </c>
    </row>
    <row r="22" spans="1:6" s="931" customFormat="1" ht="12" customHeight="1" x14ac:dyDescent="0.2">
      <c r="A22" s="971" t="s">
        <v>102</v>
      </c>
      <c r="B22" s="939" t="s">
        <v>340</v>
      </c>
      <c r="C22" s="984"/>
      <c r="E22" s="936">
        <v>0</v>
      </c>
      <c r="F22" s="936">
        <v>0</v>
      </c>
    </row>
    <row r="23" spans="1:6" s="931" customFormat="1" ht="12" customHeight="1" x14ac:dyDescent="0.2">
      <c r="A23" s="971" t="s">
        <v>103</v>
      </c>
      <c r="B23" s="939" t="s">
        <v>341</v>
      </c>
      <c r="C23" s="680">
        <f>458250+94208+114563</f>
        <v>667021</v>
      </c>
      <c r="E23" s="936">
        <v>458250</v>
      </c>
      <c r="F23" s="936">
        <v>0</v>
      </c>
    </row>
    <row r="24" spans="1:6" s="931" customFormat="1" ht="12" customHeight="1" thickBot="1" x14ac:dyDescent="0.25">
      <c r="A24" s="971" t="s">
        <v>104</v>
      </c>
      <c r="B24" s="939" t="s">
        <v>520</v>
      </c>
      <c r="C24" s="680">
        <f>458250+114563</f>
        <v>572813</v>
      </c>
      <c r="E24" s="936">
        <v>458250</v>
      </c>
      <c r="F24" s="936">
        <v>0</v>
      </c>
    </row>
    <row r="25" spans="1:6" s="931" customFormat="1" ht="12" customHeight="1" thickBot="1" x14ac:dyDescent="0.25">
      <c r="A25" s="946" t="s">
        <v>21</v>
      </c>
      <c r="B25" s="942" t="s">
        <v>135</v>
      </c>
      <c r="C25" s="988"/>
      <c r="E25" s="936">
        <v>0</v>
      </c>
      <c r="F25" s="936">
        <v>0</v>
      </c>
    </row>
    <row r="26" spans="1:6" s="931" customFormat="1" ht="12" customHeight="1" thickBot="1" x14ac:dyDescent="0.25">
      <c r="A26" s="946" t="s">
        <v>22</v>
      </c>
      <c r="B26" s="942" t="s">
        <v>521</v>
      </c>
      <c r="C26" s="982">
        <v>0</v>
      </c>
      <c r="E26" s="936">
        <v>0</v>
      </c>
      <c r="F26" s="936">
        <v>0</v>
      </c>
    </row>
    <row r="27" spans="1:6" s="931" customFormat="1" ht="12" customHeight="1" x14ac:dyDescent="0.2">
      <c r="A27" s="972" t="s">
        <v>200</v>
      </c>
      <c r="B27" s="973" t="s">
        <v>195</v>
      </c>
      <c r="C27" s="989"/>
      <c r="E27" s="936">
        <v>0</v>
      </c>
      <c r="F27" s="936">
        <v>0</v>
      </c>
    </row>
    <row r="28" spans="1:6" s="931" customFormat="1" ht="12" customHeight="1" x14ac:dyDescent="0.2">
      <c r="A28" s="972" t="s">
        <v>203</v>
      </c>
      <c r="B28" s="973" t="s">
        <v>340</v>
      </c>
      <c r="C28" s="987"/>
      <c r="E28" s="936">
        <v>0</v>
      </c>
      <c r="F28" s="936">
        <v>0</v>
      </c>
    </row>
    <row r="29" spans="1:6" s="931" customFormat="1" ht="12" customHeight="1" x14ac:dyDescent="0.2">
      <c r="A29" s="972" t="s">
        <v>204</v>
      </c>
      <c r="B29" s="974" t="s">
        <v>342</v>
      </c>
      <c r="C29" s="987"/>
      <c r="E29" s="936">
        <v>0</v>
      </c>
      <c r="F29" s="936">
        <v>0</v>
      </c>
    </row>
    <row r="30" spans="1:6" s="931" customFormat="1" ht="12" customHeight="1" thickBot="1" x14ac:dyDescent="0.25">
      <c r="A30" s="971" t="s">
        <v>205</v>
      </c>
      <c r="B30" s="943" t="s">
        <v>522</v>
      </c>
      <c r="C30" s="990"/>
      <c r="E30" s="936">
        <v>0</v>
      </c>
      <c r="F30" s="936">
        <v>0</v>
      </c>
    </row>
    <row r="31" spans="1:6" s="931" customFormat="1" ht="12" customHeight="1" thickBot="1" x14ac:dyDescent="0.25">
      <c r="A31" s="946" t="s">
        <v>23</v>
      </c>
      <c r="B31" s="942" t="s">
        <v>343</v>
      </c>
      <c r="C31" s="982">
        <v>0</v>
      </c>
      <c r="E31" s="936">
        <v>0</v>
      </c>
      <c r="F31" s="936">
        <v>0</v>
      </c>
    </row>
    <row r="32" spans="1:6" s="931" customFormat="1" ht="12" customHeight="1" x14ac:dyDescent="0.2">
      <c r="A32" s="972" t="s">
        <v>88</v>
      </c>
      <c r="B32" s="973" t="s">
        <v>226</v>
      </c>
      <c r="C32" s="989"/>
      <c r="E32" s="936">
        <v>0</v>
      </c>
      <c r="F32" s="936">
        <v>0</v>
      </c>
    </row>
    <row r="33" spans="1:6" s="931" customFormat="1" ht="12" customHeight="1" x14ac:dyDescent="0.2">
      <c r="A33" s="972" t="s">
        <v>89</v>
      </c>
      <c r="B33" s="974" t="s">
        <v>227</v>
      </c>
      <c r="C33" s="985"/>
      <c r="E33" s="936">
        <v>0</v>
      </c>
      <c r="F33" s="936">
        <v>0</v>
      </c>
    </row>
    <row r="34" spans="1:6" s="927" customFormat="1" ht="12" customHeight="1" thickBot="1" x14ac:dyDescent="0.25">
      <c r="A34" s="971" t="s">
        <v>90</v>
      </c>
      <c r="B34" s="943" t="s">
        <v>228</v>
      </c>
      <c r="C34" s="990"/>
      <c r="E34" s="936">
        <v>0</v>
      </c>
      <c r="F34" s="936">
        <v>0</v>
      </c>
    </row>
    <row r="35" spans="1:6" s="927" customFormat="1" ht="12" customHeight="1" thickBot="1" x14ac:dyDescent="0.25">
      <c r="A35" s="946" t="s">
        <v>24</v>
      </c>
      <c r="B35" s="942" t="s">
        <v>314</v>
      </c>
      <c r="C35" s="1071">
        <v>70000</v>
      </c>
      <c r="E35" s="936">
        <v>70000</v>
      </c>
      <c r="F35" s="936">
        <v>0</v>
      </c>
    </row>
    <row r="36" spans="1:6" s="927" customFormat="1" ht="12" customHeight="1" thickBot="1" x14ac:dyDescent="0.25">
      <c r="A36" s="946" t="s">
        <v>25</v>
      </c>
      <c r="B36" s="942" t="s">
        <v>344</v>
      </c>
      <c r="C36" s="991"/>
      <c r="E36" s="936">
        <v>0</v>
      </c>
      <c r="F36" s="936">
        <v>0</v>
      </c>
    </row>
    <row r="37" spans="1:6" s="927" customFormat="1" ht="12" customHeight="1" thickBot="1" x14ac:dyDescent="0.25">
      <c r="A37" s="944" t="s">
        <v>26</v>
      </c>
      <c r="B37" s="942" t="s">
        <v>345</v>
      </c>
      <c r="C37" s="992">
        <f>+C8+C20+C25+C26+C31+C35+C36</f>
        <v>11850321</v>
      </c>
      <c r="E37" s="936">
        <v>11578985</v>
      </c>
      <c r="F37" s="936">
        <v>0</v>
      </c>
    </row>
    <row r="38" spans="1:6" s="927" customFormat="1" ht="12" customHeight="1" thickBot="1" x14ac:dyDescent="0.25">
      <c r="A38" s="954" t="s">
        <v>27</v>
      </c>
      <c r="B38" s="942" t="s">
        <v>346</v>
      </c>
      <c r="C38" s="999">
        <f>SUM(C39:C41)</f>
        <v>95396539</v>
      </c>
      <c r="E38" s="936">
        <v>100065800</v>
      </c>
      <c r="F38" s="936">
        <v>0</v>
      </c>
    </row>
    <row r="39" spans="1:6" s="927" customFormat="1" ht="12" customHeight="1" x14ac:dyDescent="0.2">
      <c r="A39" s="972" t="s">
        <v>347</v>
      </c>
      <c r="B39" s="973" t="s">
        <v>172</v>
      </c>
      <c r="C39" s="989">
        <v>435258</v>
      </c>
      <c r="E39" s="936">
        <v>435258</v>
      </c>
      <c r="F39" s="936">
        <v>0</v>
      </c>
    </row>
    <row r="40" spans="1:6" s="931" customFormat="1" ht="12" customHeight="1" x14ac:dyDescent="0.2">
      <c r="A40" s="972" t="s">
        <v>348</v>
      </c>
      <c r="B40" s="974" t="s">
        <v>10</v>
      </c>
      <c r="C40" s="985"/>
      <c r="E40" s="936">
        <v>0</v>
      </c>
      <c r="F40" s="936">
        <v>0</v>
      </c>
    </row>
    <row r="41" spans="1:6" s="931" customFormat="1" ht="15" customHeight="1" thickBot="1" x14ac:dyDescent="0.25">
      <c r="A41" s="971" t="s">
        <v>349</v>
      </c>
      <c r="B41" s="943" t="s">
        <v>350</v>
      </c>
      <c r="C41" s="1028">
        <f>99630542+859189+82550+389000-6000000</f>
        <v>94961281</v>
      </c>
      <c r="E41" s="936">
        <v>99630542</v>
      </c>
      <c r="F41" s="936">
        <v>0</v>
      </c>
    </row>
    <row r="42" spans="1:6" s="931" customFormat="1" ht="15" customHeight="1" thickBot="1" x14ac:dyDescent="0.25">
      <c r="A42" s="954" t="s">
        <v>28</v>
      </c>
      <c r="B42" s="955" t="s">
        <v>351</v>
      </c>
      <c r="C42" s="999">
        <f>+C37+C38</f>
        <v>107246860</v>
      </c>
      <c r="E42" s="936">
        <v>111644785</v>
      </c>
      <c r="F42" s="936">
        <v>0</v>
      </c>
    </row>
    <row r="43" spans="1:6" x14ac:dyDescent="0.2">
      <c r="A43" s="956"/>
      <c r="B43" s="957"/>
      <c r="C43" s="762"/>
      <c r="D43" s="937"/>
      <c r="E43" s="936">
        <v>0</v>
      </c>
      <c r="F43" s="936">
        <v>0</v>
      </c>
    </row>
    <row r="44" spans="1:6" s="930" customFormat="1" ht="16.5" customHeight="1" thickBot="1" x14ac:dyDescent="0.25">
      <c r="A44" s="958"/>
      <c r="B44" s="959"/>
      <c r="C44" s="763"/>
      <c r="E44" s="936">
        <v>0</v>
      </c>
      <c r="F44" s="936">
        <v>0</v>
      </c>
    </row>
    <row r="45" spans="1:6" s="932" customFormat="1" ht="12" customHeight="1" thickBot="1" x14ac:dyDescent="0.25">
      <c r="A45" s="960"/>
      <c r="B45" s="961" t="s">
        <v>58</v>
      </c>
      <c r="C45" s="992"/>
      <c r="E45" s="936">
        <v>0</v>
      </c>
      <c r="F45" s="936">
        <v>0</v>
      </c>
    </row>
    <row r="46" spans="1:6" ht="12" customHeight="1" thickBot="1" x14ac:dyDescent="0.25">
      <c r="A46" s="946" t="s">
        <v>19</v>
      </c>
      <c r="B46" s="942" t="s">
        <v>352</v>
      </c>
      <c r="C46" s="998">
        <f>SUM(C47:C49)</f>
        <v>101682578</v>
      </c>
      <c r="D46" s="937"/>
      <c r="E46" s="936">
        <v>106934571</v>
      </c>
      <c r="F46" s="936">
        <v>0</v>
      </c>
    </row>
    <row r="47" spans="1:6" ht="12" customHeight="1" x14ac:dyDescent="0.2">
      <c r="A47" s="971" t="s">
        <v>95</v>
      </c>
      <c r="B47" s="940" t="s">
        <v>49</v>
      </c>
      <c r="C47" s="1017">
        <f>48217919-330000-528500-2000000</f>
        <v>45359419</v>
      </c>
      <c r="D47" s="937"/>
      <c r="E47" s="936">
        <v>48384047</v>
      </c>
      <c r="F47" s="936">
        <v>0</v>
      </c>
    </row>
    <row r="48" spans="1:6" ht="12" customHeight="1" x14ac:dyDescent="0.2">
      <c r="A48" s="971" t="s">
        <v>96</v>
      </c>
      <c r="B48" s="939" t="s">
        <v>144</v>
      </c>
      <c r="C48" s="680">
        <f>9145004+9588-179500+124502-59850+227751</f>
        <v>9267495</v>
      </c>
      <c r="D48" s="937"/>
      <c r="E48" s="936">
        <v>9145004</v>
      </c>
      <c r="F48" s="936">
        <v>0</v>
      </c>
    </row>
    <row r="49" spans="1:6" ht="12" customHeight="1" x14ac:dyDescent="0.2">
      <c r="A49" s="971" t="s">
        <v>97</v>
      </c>
      <c r="B49" s="939" t="s">
        <v>120</v>
      </c>
      <c r="C49" s="1018">
        <f>50355247+528750-69450-69450+82550-142295+370312-4000000</f>
        <v>47055664</v>
      </c>
      <c r="D49" s="937"/>
      <c r="E49" s="936">
        <v>49405520</v>
      </c>
      <c r="F49" s="936">
        <v>0</v>
      </c>
    </row>
    <row r="50" spans="1:6" ht="12" customHeight="1" x14ac:dyDescent="0.2">
      <c r="A50" s="971" t="s">
        <v>98</v>
      </c>
      <c r="B50" s="939" t="s">
        <v>145</v>
      </c>
      <c r="C50" s="984"/>
      <c r="D50" s="937"/>
      <c r="E50" s="936">
        <v>0</v>
      </c>
      <c r="F50" s="936">
        <v>0</v>
      </c>
    </row>
    <row r="51" spans="1:6" ht="12" customHeight="1" thickBot="1" x14ac:dyDescent="0.25">
      <c r="A51" s="971" t="s">
        <v>121</v>
      </c>
      <c r="B51" s="939" t="s">
        <v>146</v>
      </c>
      <c r="C51" s="984"/>
      <c r="D51" s="937"/>
      <c r="E51" s="936">
        <v>0</v>
      </c>
      <c r="F51" s="936">
        <v>0</v>
      </c>
    </row>
    <row r="52" spans="1:6" s="932" customFormat="1" ht="12" customHeight="1" thickBot="1" x14ac:dyDescent="0.25">
      <c r="A52" s="946" t="s">
        <v>20</v>
      </c>
      <c r="B52" s="942" t="s">
        <v>353</v>
      </c>
      <c r="C52" s="982">
        <f>SUM(C53:C54)</f>
        <v>5564282</v>
      </c>
      <c r="E52" s="936">
        <v>4710214</v>
      </c>
      <c r="F52" s="936">
        <v>0</v>
      </c>
    </row>
    <row r="53" spans="1:6" ht="12" customHeight="1" x14ac:dyDescent="0.2">
      <c r="A53" s="971" t="s">
        <v>101</v>
      </c>
      <c r="B53" s="940" t="s">
        <v>163</v>
      </c>
      <c r="C53" s="989">
        <f>4710214+121000+299068+45000+389000</f>
        <v>5564282</v>
      </c>
      <c r="D53" s="937"/>
      <c r="E53" s="936">
        <v>4710214</v>
      </c>
      <c r="F53" s="936">
        <v>0</v>
      </c>
    </row>
    <row r="54" spans="1:6" ht="12" customHeight="1" x14ac:dyDescent="0.2">
      <c r="A54" s="971" t="s">
        <v>102</v>
      </c>
      <c r="B54" s="939" t="s">
        <v>148</v>
      </c>
      <c r="C54" s="984"/>
      <c r="D54" s="937"/>
      <c r="E54" s="936">
        <v>0</v>
      </c>
      <c r="F54" s="936">
        <v>0</v>
      </c>
    </row>
    <row r="55" spans="1:6" ht="12" customHeight="1" x14ac:dyDescent="0.2">
      <c r="A55" s="971" t="s">
        <v>103</v>
      </c>
      <c r="B55" s="939" t="s">
        <v>59</v>
      </c>
      <c r="C55" s="984"/>
      <c r="D55" s="937"/>
      <c r="E55" s="936">
        <v>0</v>
      </c>
      <c r="F55" s="936">
        <v>0</v>
      </c>
    </row>
    <row r="56" spans="1:6" ht="15" customHeight="1" thickBot="1" x14ac:dyDescent="0.25">
      <c r="A56" s="971" t="s">
        <v>104</v>
      </c>
      <c r="B56" s="939" t="s">
        <v>523</v>
      </c>
      <c r="C56" s="984"/>
      <c r="D56" s="937"/>
      <c r="E56" s="936">
        <v>0</v>
      </c>
      <c r="F56" s="936">
        <v>0</v>
      </c>
    </row>
    <row r="57" spans="1:6" ht="13.5" thickBot="1" x14ac:dyDescent="0.25">
      <c r="A57" s="946" t="s">
        <v>21</v>
      </c>
      <c r="B57" s="942" t="s">
        <v>13</v>
      </c>
      <c r="C57" s="988"/>
      <c r="D57" s="937"/>
      <c r="E57" s="936">
        <v>0</v>
      </c>
      <c r="F57" s="936">
        <v>0</v>
      </c>
    </row>
    <row r="58" spans="1:6" ht="15" customHeight="1" thickBot="1" x14ac:dyDescent="0.25">
      <c r="A58" s="946" t="s">
        <v>22</v>
      </c>
      <c r="B58" s="962" t="s">
        <v>524</v>
      </c>
      <c r="C58" s="1000">
        <f>+C46+C52+C57</f>
        <v>107246860</v>
      </c>
      <c r="D58" s="937"/>
      <c r="E58" s="936">
        <v>111644785</v>
      </c>
      <c r="F58" s="936">
        <v>0</v>
      </c>
    </row>
    <row r="59" spans="1:6" ht="14.25" customHeight="1" thickBot="1" x14ac:dyDescent="0.25">
      <c r="A59" s="937"/>
      <c r="B59" s="937"/>
      <c r="C59" s="996"/>
      <c r="D59" s="937"/>
      <c r="E59" s="936">
        <v>0</v>
      </c>
      <c r="F59" s="936">
        <v>0</v>
      </c>
    </row>
    <row r="60" spans="1:6" ht="13.5" thickBot="1" x14ac:dyDescent="0.25">
      <c r="A60" s="963" t="s">
        <v>517</v>
      </c>
      <c r="B60" s="964"/>
      <c r="C60" s="997">
        <v>18.25</v>
      </c>
      <c r="D60" s="937"/>
      <c r="E60" s="936">
        <v>18.25</v>
      </c>
      <c r="F60" s="936">
        <v>0</v>
      </c>
    </row>
    <row r="61" spans="1:6" ht="13.5" thickBot="1" x14ac:dyDescent="0.25">
      <c r="A61" s="1196" t="s">
        <v>779</v>
      </c>
      <c r="B61" s="1197"/>
      <c r="C61" s="771">
        <v>0.25</v>
      </c>
      <c r="D61" s="937"/>
      <c r="E61" s="937"/>
      <c r="F61" s="937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4/2020.(II.28.)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1"/>
  <sheetViews>
    <sheetView view="pageLayout" zoomScaleNormal="100" workbookViewId="0">
      <selection activeCell="D23" sqref="D23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926" customFormat="1" ht="21" customHeight="1" thickBot="1" x14ac:dyDescent="0.25">
      <c r="A1" s="947"/>
      <c r="B1" s="948"/>
      <c r="C1" s="975"/>
    </row>
    <row r="2" spans="1:3" s="928" customFormat="1" ht="33" customHeight="1" x14ac:dyDescent="0.2">
      <c r="A2" s="967" t="s">
        <v>158</v>
      </c>
      <c r="B2" s="965" t="s">
        <v>551</v>
      </c>
      <c r="C2" s="976" t="s">
        <v>62</v>
      </c>
    </row>
    <row r="3" spans="1:3" s="928" customFormat="1" ht="24.75" thickBot="1" x14ac:dyDescent="0.25">
      <c r="A3" s="969" t="s">
        <v>157</v>
      </c>
      <c r="B3" s="966" t="s">
        <v>354</v>
      </c>
      <c r="C3" s="977" t="s">
        <v>61</v>
      </c>
    </row>
    <row r="4" spans="1:3" s="929" customFormat="1" ht="15.95" customHeight="1" thickBot="1" x14ac:dyDescent="0.3">
      <c r="A4" s="949"/>
      <c r="B4" s="949"/>
      <c r="C4" s="978" t="s">
        <v>553</v>
      </c>
    </row>
    <row r="5" spans="1:3" ht="13.5" thickBot="1" x14ac:dyDescent="0.25">
      <c r="A5" s="968" t="s">
        <v>159</v>
      </c>
      <c r="B5" s="950" t="s">
        <v>55</v>
      </c>
      <c r="C5" s="979" t="s">
        <v>56</v>
      </c>
    </row>
    <row r="6" spans="1:3" s="930" customFormat="1" ht="12.95" customHeight="1" thickBot="1" x14ac:dyDescent="0.25">
      <c r="A6" s="944" t="s">
        <v>443</v>
      </c>
      <c r="B6" s="945" t="s">
        <v>444</v>
      </c>
      <c r="C6" s="980" t="s">
        <v>445</v>
      </c>
    </row>
    <row r="7" spans="1:3" s="930" customFormat="1" ht="15.95" customHeight="1" thickBot="1" x14ac:dyDescent="0.25">
      <c r="A7" s="951"/>
      <c r="B7" s="952" t="s">
        <v>57</v>
      </c>
      <c r="C7" s="981"/>
    </row>
    <row r="8" spans="1:3" s="927" customFormat="1" ht="12" customHeight="1" thickBot="1" x14ac:dyDescent="0.25">
      <c r="A8" s="944" t="s">
        <v>19</v>
      </c>
      <c r="B8" s="953" t="s">
        <v>519</v>
      </c>
      <c r="C8" s="982">
        <f>SUM(C9:C19)</f>
        <v>10277500</v>
      </c>
    </row>
    <row r="9" spans="1:3" s="927" customFormat="1" ht="12" customHeight="1" x14ac:dyDescent="0.2">
      <c r="A9" s="970" t="s">
        <v>95</v>
      </c>
      <c r="B9" s="941" t="s">
        <v>212</v>
      </c>
      <c r="C9" s="983">
        <v>20000</v>
      </c>
    </row>
    <row r="10" spans="1:3" s="927" customFormat="1" ht="12" customHeight="1" x14ac:dyDescent="0.2">
      <c r="A10" s="971" t="s">
        <v>96</v>
      </c>
      <c r="B10" s="939" t="s">
        <v>213</v>
      </c>
      <c r="C10" s="984">
        <v>8650000</v>
      </c>
    </row>
    <row r="11" spans="1:3" s="927" customFormat="1" ht="12" customHeight="1" x14ac:dyDescent="0.2">
      <c r="A11" s="971" t="s">
        <v>97</v>
      </c>
      <c r="B11" s="939" t="s">
        <v>214</v>
      </c>
      <c r="C11" s="984">
        <v>50000</v>
      </c>
    </row>
    <row r="12" spans="1:3" s="927" customFormat="1" ht="12" customHeight="1" x14ac:dyDescent="0.2">
      <c r="A12" s="971" t="s">
        <v>98</v>
      </c>
      <c r="B12" s="939" t="s">
        <v>215</v>
      </c>
      <c r="C12" s="984"/>
    </row>
    <row r="13" spans="1:3" s="927" customFormat="1" ht="12" customHeight="1" x14ac:dyDescent="0.2">
      <c r="A13" s="971" t="s">
        <v>121</v>
      </c>
      <c r="B13" s="939" t="s">
        <v>216</v>
      </c>
      <c r="C13" s="984"/>
    </row>
    <row r="14" spans="1:3" s="927" customFormat="1" ht="12" customHeight="1" x14ac:dyDescent="0.2">
      <c r="A14" s="971" t="s">
        <v>99</v>
      </c>
      <c r="B14" s="939" t="s">
        <v>337</v>
      </c>
      <c r="C14" s="984">
        <v>823500</v>
      </c>
    </row>
    <row r="15" spans="1:3" s="927" customFormat="1" ht="12" customHeight="1" x14ac:dyDescent="0.2">
      <c r="A15" s="971" t="s">
        <v>100</v>
      </c>
      <c r="B15" s="938" t="s">
        <v>338</v>
      </c>
      <c r="C15" s="984">
        <v>650000</v>
      </c>
    </row>
    <row r="16" spans="1:3" s="927" customFormat="1" ht="12" customHeight="1" x14ac:dyDescent="0.2">
      <c r="A16" s="971" t="s">
        <v>110</v>
      </c>
      <c r="B16" s="939" t="s">
        <v>219</v>
      </c>
      <c r="C16" s="985"/>
    </row>
    <row r="17" spans="1:3" s="931" customFormat="1" ht="12" customHeight="1" x14ac:dyDescent="0.2">
      <c r="A17" s="971" t="s">
        <v>111</v>
      </c>
      <c r="B17" s="939" t="s">
        <v>220</v>
      </c>
      <c r="C17" s="984"/>
    </row>
    <row r="18" spans="1:3" s="931" customFormat="1" ht="12" customHeight="1" x14ac:dyDescent="0.2">
      <c r="A18" s="971" t="s">
        <v>112</v>
      </c>
      <c r="B18" s="939" t="s">
        <v>449</v>
      </c>
      <c r="C18" s="986"/>
    </row>
    <row r="19" spans="1:3" s="931" customFormat="1" ht="12" customHeight="1" thickBot="1" x14ac:dyDescent="0.25">
      <c r="A19" s="971" t="s">
        <v>113</v>
      </c>
      <c r="B19" s="938" t="s">
        <v>221</v>
      </c>
      <c r="C19" s="986">
        <v>84000</v>
      </c>
    </row>
    <row r="20" spans="1:3" s="927" customFormat="1" ht="12" customHeight="1" thickBot="1" x14ac:dyDescent="0.25">
      <c r="A20" s="944" t="s">
        <v>20</v>
      </c>
      <c r="B20" s="953" t="s">
        <v>339</v>
      </c>
      <c r="C20" s="982">
        <f>SUM(C21:C23)</f>
        <v>667021</v>
      </c>
    </row>
    <row r="21" spans="1:3" s="931" customFormat="1" ht="12" customHeight="1" x14ac:dyDescent="0.2">
      <c r="A21" s="971" t="s">
        <v>101</v>
      </c>
      <c r="B21" s="940" t="s">
        <v>190</v>
      </c>
      <c r="C21" s="984"/>
    </row>
    <row r="22" spans="1:3" s="931" customFormat="1" ht="12" customHeight="1" x14ac:dyDescent="0.2">
      <c r="A22" s="971" t="s">
        <v>102</v>
      </c>
      <c r="B22" s="939" t="s">
        <v>340</v>
      </c>
      <c r="C22" s="984"/>
    </row>
    <row r="23" spans="1:3" s="931" customFormat="1" ht="12" customHeight="1" x14ac:dyDescent="0.2">
      <c r="A23" s="971" t="s">
        <v>103</v>
      </c>
      <c r="B23" s="939" t="s">
        <v>341</v>
      </c>
      <c r="C23" s="680">
        <f>458250+94208+114563</f>
        <v>667021</v>
      </c>
    </row>
    <row r="24" spans="1:3" s="931" customFormat="1" ht="12" customHeight="1" thickBot="1" x14ac:dyDescent="0.25">
      <c r="A24" s="971" t="s">
        <v>104</v>
      </c>
      <c r="B24" s="939" t="s">
        <v>520</v>
      </c>
      <c r="C24" s="984">
        <f>458250+114563</f>
        <v>572813</v>
      </c>
    </row>
    <row r="25" spans="1:3" s="931" customFormat="1" ht="12" customHeight="1" thickBot="1" x14ac:dyDescent="0.25">
      <c r="A25" s="946" t="s">
        <v>21</v>
      </c>
      <c r="B25" s="942" t="s">
        <v>135</v>
      </c>
      <c r="C25" s="988"/>
    </row>
    <row r="26" spans="1:3" s="931" customFormat="1" ht="12" customHeight="1" thickBot="1" x14ac:dyDescent="0.25">
      <c r="A26" s="946" t="s">
        <v>22</v>
      </c>
      <c r="B26" s="942" t="s">
        <v>521</v>
      </c>
      <c r="C26" s="982">
        <v>0</v>
      </c>
    </row>
    <row r="27" spans="1:3" s="931" customFormat="1" ht="12" customHeight="1" x14ac:dyDescent="0.2">
      <c r="A27" s="972" t="s">
        <v>200</v>
      </c>
      <c r="B27" s="973" t="s">
        <v>195</v>
      </c>
      <c r="C27" s="989"/>
    </row>
    <row r="28" spans="1:3" s="931" customFormat="1" ht="12" customHeight="1" x14ac:dyDescent="0.2">
      <c r="A28" s="972" t="s">
        <v>203</v>
      </c>
      <c r="B28" s="973" t="s">
        <v>340</v>
      </c>
      <c r="C28" s="987"/>
    </row>
    <row r="29" spans="1:3" s="931" customFormat="1" ht="12" customHeight="1" x14ac:dyDescent="0.2">
      <c r="A29" s="972" t="s">
        <v>204</v>
      </c>
      <c r="B29" s="974" t="s">
        <v>342</v>
      </c>
      <c r="C29" s="987"/>
    </row>
    <row r="30" spans="1:3" s="931" customFormat="1" ht="12" customHeight="1" thickBot="1" x14ac:dyDescent="0.25">
      <c r="A30" s="971" t="s">
        <v>205</v>
      </c>
      <c r="B30" s="943" t="s">
        <v>522</v>
      </c>
      <c r="C30" s="990"/>
    </row>
    <row r="31" spans="1:3" s="931" customFormat="1" ht="12" customHeight="1" thickBot="1" x14ac:dyDescent="0.25">
      <c r="A31" s="946" t="s">
        <v>23</v>
      </c>
      <c r="B31" s="942" t="s">
        <v>343</v>
      </c>
      <c r="C31" s="982">
        <v>0</v>
      </c>
    </row>
    <row r="32" spans="1:3" s="931" customFormat="1" ht="12" customHeight="1" x14ac:dyDescent="0.2">
      <c r="A32" s="972" t="s">
        <v>88</v>
      </c>
      <c r="B32" s="973" t="s">
        <v>226</v>
      </c>
      <c r="C32" s="989"/>
    </row>
    <row r="33" spans="1:3" s="931" customFormat="1" ht="12" customHeight="1" x14ac:dyDescent="0.2">
      <c r="A33" s="972" t="s">
        <v>89</v>
      </c>
      <c r="B33" s="974" t="s">
        <v>227</v>
      </c>
      <c r="C33" s="985"/>
    </row>
    <row r="34" spans="1:3" s="927" customFormat="1" ht="12" customHeight="1" thickBot="1" x14ac:dyDescent="0.25">
      <c r="A34" s="971" t="s">
        <v>90</v>
      </c>
      <c r="B34" s="943" t="s">
        <v>228</v>
      </c>
      <c r="C34" s="990"/>
    </row>
    <row r="35" spans="1:3" s="927" customFormat="1" ht="12" customHeight="1" thickBot="1" x14ac:dyDescent="0.25">
      <c r="A35" s="946" t="s">
        <v>24</v>
      </c>
      <c r="B35" s="942" t="s">
        <v>314</v>
      </c>
      <c r="C35" s="988">
        <v>70000</v>
      </c>
    </row>
    <row r="36" spans="1:3" s="927" customFormat="1" ht="12" customHeight="1" thickBot="1" x14ac:dyDescent="0.25">
      <c r="A36" s="946" t="s">
        <v>25</v>
      </c>
      <c r="B36" s="942" t="s">
        <v>344</v>
      </c>
      <c r="C36" s="991"/>
    </row>
    <row r="37" spans="1:3" s="927" customFormat="1" ht="12" customHeight="1" thickBot="1" x14ac:dyDescent="0.25">
      <c r="A37" s="944" t="s">
        <v>26</v>
      </c>
      <c r="B37" s="942" t="s">
        <v>345</v>
      </c>
      <c r="C37" s="992">
        <f>+C8+C20+C25+C26+C31+C35+C36</f>
        <v>11014521</v>
      </c>
    </row>
    <row r="38" spans="1:3" s="927" customFormat="1" ht="12" customHeight="1" thickBot="1" x14ac:dyDescent="0.25">
      <c r="A38" s="954" t="s">
        <v>27</v>
      </c>
      <c r="B38" s="942" t="s">
        <v>346</v>
      </c>
      <c r="C38" s="999">
        <f>SUM(C39:C41)</f>
        <v>95396539</v>
      </c>
    </row>
    <row r="39" spans="1:3" s="927" customFormat="1" ht="12" customHeight="1" x14ac:dyDescent="0.2">
      <c r="A39" s="972" t="s">
        <v>347</v>
      </c>
      <c r="B39" s="973" t="s">
        <v>172</v>
      </c>
      <c r="C39" s="989">
        <v>435258</v>
      </c>
    </row>
    <row r="40" spans="1:3" s="931" customFormat="1" ht="12" customHeight="1" x14ac:dyDescent="0.2">
      <c r="A40" s="972" t="s">
        <v>348</v>
      </c>
      <c r="B40" s="974" t="s">
        <v>10</v>
      </c>
      <c r="C40" s="985"/>
    </row>
    <row r="41" spans="1:3" s="931" customFormat="1" ht="15" customHeight="1" thickBot="1" x14ac:dyDescent="0.25">
      <c r="A41" s="971" t="s">
        <v>349</v>
      </c>
      <c r="B41" s="943" t="s">
        <v>350</v>
      </c>
      <c r="C41" s="1028">
        <f>100489731+82550+389000-6000000</f>
        <v>94961281</v>
      </c>
    </row>
    <row r="42" spans="1:3" s="931" customFormat="1" ht="15" customHeight="1" thickBot="1" x14ac:dyDescent="0.25">
      <c r="A42" s="954" t="s">
        <v>28</v>
      </c>
      <c r="B42" s="955" t="s">
        <v>351</v>
      </c>
      <c r="C42" s="999">
        <f>+C37+C38</f>
        <v>106411060</v>
      </c>
    </row>
    <row r="43" spans="1:3" x14ac:dyDescent="0.2">
      <c r="A43" s="956"/>
      <c r="B43" s="957"/>
      <c r="C43" s="994"/>
    </row>
    <row r="44" spans="1:3" s="930" customFormat="1" ht="16.5" customHeight="1" thickBot="1" x14ac:dyDescent="0.25">
      <c r="A44" s="958"/>
      <c r="B44" s="959"/>
      <c r="C44" s="995"/>
    </row>
    <row r="45" spans="1:3" s="932" customFormat="1" ht="12" customHeight="1" thickBot="1" x14ac:dyDescent="0.25">
      <c r="A45" s="960"/>
      <c r="B45" s="961" t="s">
        <v>58</v>
      </c>
      <c r="C45" s="993"/>
    </row>
    <row r="46" spans="1:3" ht="12" customHeight="1" thickBot="1" x14ac:dyDescent="0.25">
      <c r="A46" s="946" t="s">
        <v>19</v>
      </c>
      <c r="B46" s="942" t="s">
        <v>352</v>
      </c>
      <c r="C46" s="998">
        <f>SUM(C47:C49)</f>
        <v>100967638</v>
      </c>
    </row>
    <row r="47" spans="1:3" ht="12" customHeight="1" x14ac:dyDescent="0.2">
      <c r="A47" s="971" t="s">
        <v>95</v>
      </c>
      <c r="B47" s="940" t="s">
        <v>49</v>
      </c>
      <c r="C47" s="1017">
        <f>48217919-330000-528500-2000000</f>
        <v>45359419</v>
      </c>
    </row>
    <row r="48" spans="1:3" ht="12" customHeight="1" x14ac:dyDescent="0.2">
      <c r="A48" s="971" t="s">
        <v>96</v>
      </c>
      <c r="B48" s="939" t="s">
        <v>144</v>
      </c>
      <c r="C48" s="680">
        <f>9145004+9588-179500+124502-59850+227751</f>
        <v>9267495</v>
      </c>
    </row>
    <row r="49" spans="1:3" ht="12" customHeight="1" x14ac:dyDescent="0.2">
      <c r="A49" s="971" t="s">
        <v>97</v>
      </c>
      <c r="B49" s="939" t="s">
        <v>120</v>
      </c>
      <c r="C49" s="1018">
        <f>50355247-857235+528750-69450-69450+82550+370312-4000000</f>
        <v>46340724</v>
      </c>
    </row>
    <row r="50" spans="1:3" ht="12" customHeight="1" x14ac:dyDescent="0.2">
      <c r="A50" s="971" t="s">
        <v>98</v>
      </c>
      <c r="B50" s="939" t="s">
        <v>145</v>
      </c>
      <c r="C50" s="984"/>
    </row>
    <row r="51" spans="1:3" ht="12" customHeight="1" thickBot="1" x14ac:dyDescent="0.25">
      <c r="A51" s="971" t="s">
        <v>121</v>
      </c>
      <c r="B51" s="939" t="s">
        <v>146</v>
      </c>
      <c r="C51" s="984"/>
    </row>
    <row r="52" spans="1:3" s="932" customFormat="1" ht="12" customHeight="1" thickBot="1" x14ac:dyDescent="0.25">
      <c r="A52" s="946" t="s">
        <v>20</v>
      </c>
      <c r="B52" s="942" t="s">
        <v>353</v>
      </c>
      <c r="C52" s="982">
        <f>SUM(C53:C54)</f>
        <v>5564282</v>
      </c>
    </row>
    <row r="53" spans="1:3" ht="12" customHeight="1" x14ac:dyDescent="0.2">
      <c r="A53" s="971" t="s">
        <v>101</v>
      </c>
      <c r="B53" s="940" t="s">
        <v>163</v>
      </c>
      <c r="C53" s="989">
        <f>4710214+121000+299068+45000+389000</f>
        <v>5564282</v>
      </c>
    </row>
    <row r="54" spans="1:3" ht="12" customHeight="1" x14ac:dyDescent="0.2">
      <c r="A54" s="971" t="s">
        <v>102</v>
      </c>
      <c r="B54" s="939" t="s">
        <v>148</v>
      </c>
      <c r="C54" s="984"/>
    </row>
    <row r="55" spans="1:3" ht="12" customHeight="1" x14ac:dyDescent="0.2">
      <c r="A55" s="971" t="s">
        <v>103</v>
      </c>
      <c r="B55" s="939" t="s">
        <v>59</v>
      </c>
      <c r="C55" s="984"/>
    </row>
    <row r="56" spans="1:3" ht="15" customHeight="1" thickBot="1" x14ac:dyDescent="0.25">
      <c r="A56" s="971" t="s">
        <v>104</v>
      </c>
      <c r="B56" s="939" t="s">
        <v>523</v>
      </c>
      <c r="C56" s="984"/>
    </row>
    <row r="57" spans="1:3" ht="13.5" thickBot="1" x14ac:dyDescent="0.25">
      <c r="A57" s="946" t="s">
        <v>21</v>
      </c>
      <c r="B57" s="942" t="s">
        <v>13</v>
      </c>
      <c r="C57" s="988"/>
    </row>
    <row r="58" spans="1:3" ht="15" customHeight="1" thickBot="1" x14ac:dyDescent="0.25">
      <c r="A58" s="946" t="s">
        <v>22</v>
      </c>
      <c r="B58" s="962" t="s">
        <v>524</v>
      </c>
      <c r="C58" s="998">
        <f>+C46+C52+C57</f>
        <v>106531920</v>
      </c>
    </row>
    <row r="59" spans="1:3" ht="14.25" customHeight="1" thickBot="1" x14ac:dyDescent="0.25">
      <c r="A59" s="937"/>
      <c r="B59" s="937"/>
      <c r="C59" s="996"/>
    </row>
    <row r="60" spans="1:3" ht="13.5" thickBot="1" x14ac:dyDescent="0.25">
      <c r="A60" s="963" t="s">
        <v>517</v>
      </c>
      <c r="B60" s="964"/>
      <c r="C60" s="997">
        <v>18.25</v>
      </c>
    </row>
    <row r="61" spans="1:3" s="382" customFormat="1" ht="13.5" thickBot="1" x14ac:dyDescent="0.25">
      <c r="A61" s="1194" t="s">
        <v>779</v>
      </c>
      <c r="B61" s="1195"/>
      <c r="C61" s="771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4/2020.(II.28.)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rgb="FF92D050"/>
  </sheetPr>
  <dimension ref="A1:F61"/>
  <sheetViews>
    <sheetView view="pageLayout" topLeftCell="B1" zoomScaleNormal="115" workbookViewId="0">
      <selection activeCell="I15" sqref="I1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0" style="106" hidden="1" customWidth="1"/>
    <col min="5" max="5" width="11.83203125" style="933" hidden="1" customWidth="1"/>
    <col min="6" max="6" width="12.5" style="933" hidden="1" customWidth="1"/>
    <col min="7" max="7" width="0" style="106" hidden="1" customWidth="1"/>
    <col min="8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33203125" style="106"/>
    <col min="261" max="262" width="0" style="106" hidden="1" customWidth="1"/>
    <col min="263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33203125" style="106"/>
    <col min="517" max="518" width="0" style="106" hidden="1" customWidth="1"/>
    <col min="519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33203125" style="106"/>
    <col min="773" max="774" width="0" style="106" hidden="1" customWidth="1"/>
    <col min="775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33203125" style="106"/>
    <col min="1029" max="1030" width="0" style="106" hidden="1" customWidth="1"/>
    <col min="1031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33203125" style="106"/>
    <col min="1285" max="1286" width="0" style="106" hidden="1" customWidth="1"/>
    <col min="1287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33203125" style="106"/>
    <col min="1541" max="1542" width="0" style="106" hidden="1" customWidth="1"/>
    <col min="1543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33203125" style="106"/>
    <col min="1797" max="1798" width="0" style="106" hidden="1" customWidth="1"/>
    <col min="1799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33203125" style="106"/>
    <col min="2053" max="2054" width="0" style="106" hidden="1" customWidth="1"/>
    <col min="2055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33203125" style="106"/>
    <col min="2309" max="2310" width="0" style="106" hidden="1" customWidth="1"/>
    <col min="2311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33203125" style="106"/>
    <col min="2565" max="2566" width="0" style="106" hidden="1" customWidth="1"/>
    <col min="2567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33203125" style="106"/>
    <col min="2821" max="2822" width="0" style="106" hidden="1" customWidth="1"/>
    <col min="2823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33203125" style="106"/>
    <col min="3077" max="3078" width="0" style="106" hidden="1" customWidth="1"/>
    <col min="3079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33203125" style="106"/>
    <col min="3333" max="3334" width="0" style="106" hidden="1" customWidth="1"/>
    <col min="3335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33203125" style="106"/>
    <col min="3589" max="3590" width="0" style="106" hidden="1" customWidth="1"/>
    <col min="3591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33203125" style="106"/>
    <col min="3845" max="3846" width="0" style="106" hidden="1" customWidth="1"/>
    <col min="3847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33203125" style="106"/>
    <col min="4101" max="4102" width="0" style="106" hidden="1" customWidth="1"/>
    <col min="4103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33203125" style="106"/>
    <col min="4357" max="4358" width="0" style="106" hidden="1" customWidth="1"/>
    <col min="4359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33203125" style="106"/>
    <col min="4613" max="4614" width="0" style="106" hidden="1" customWidth="1"/>
    <col min="4615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33203125" style="106"/>
    <col min="4869" max="4870" width="0" style="106" hidden="1" customWidth="1"/>
    <col min="4871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33203125" style="106"/>
    <col min="5125" max="5126" width="0" style="106" hidden="1" customWidth="1"/>
    <col min="5127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33203125" style="106"/>
    <col min="5381" max="5382" width="0" style="106" hidden="1" customWidth="1"/>
    <col min="5383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33203125" style="106"/>
    <col min="5637" max="5638" width="0" style="106" hidden="1" customWidth="1"/>
    <col min="5639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33203125" style="106"/>
    <col min="5893" max="5894" width="0" style="106" hidden="1" customWidth="1"/>
    <col min="5895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33203125" style="106"/>
    <col min="6149" max="6150" width="0" style="106" hidden="1" customWidth="1"/>
    <col min="6151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33203125" style="106"/>
    <col min="6405" max="6406" width="0" style="106" hidden="1" customWidth="1"/>
    <col min="6407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33203125" style="106"/>
    <col min="6661" max="6662" width="0" style="106" hidden="1" customWidth="1"/>
    <col min="6663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33203125" style="106"/>
    <col min="6917" max="6918" width="0" style="106" hidden="1" customWidth="1"/>
    <col min="6919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33203125" style="106"/>
    <col min="7173" max="7174" width="0" style="106" hidden="1" customWidth="1"/>
    <col min="7175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33203125" style="106"/>
    <col min="7429" max="7430" width="0" style="106" hidden="1" customWidth="1"/>
    <col min="7431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33203125" style="106"/>
    <col min="7685" max="7686" width="0" style="106" hidden="1" customWidth="1"/>
    <col min="7687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33203125" style="106"/>
    <col min="7941" max="7942" width="0" style="106" hidden="1" customWidth="1"/>
    <col min="7943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33203125" style="106"/>
    <col min="8197" max="8198" width="0" style="106" hidden="1" customWidth="1"/>
    <col min="8199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33203125" style="106"/>
    <col min="8453" max="8454" width="0" style="106" hidden="1" customWidth="1"/>
    <col min="8455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33203125" style="106"/>
    <col min="8709" max="8710" width="0" style="106" hidden="1" customWidth="1"/>
    <col min="8711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33203125" style="106"/>
    <col min="8965" max="8966" width="0" style="106" hidden="1" customWidth="1"/>
    <col min="8967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33203125" style="106"/>
    <col min="9221" max="9222" width="0" style="106" hidden="1" customWidth="1"/>
    <col min="9223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33203125" style="106"/>
    <col min="9477" max="9478" width="0" style="106" hidden="1" customWidth="1"/>
    <col min="9479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33203125" style="106"/>
    <col min="9733" max="9734" width="0" style="106" hidden="1" customWidth="1"/>
    <col min="9735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33203125" style="106"/>
    <col min="9989" max="9990" width="0" style="106" hidden="1" customWidth="1"/>
    <col min="9991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33203125" style="106"/>
    <col min="10245" max="10246" width="0" style="106" hidden="1" customWidth="1"/>
    <col min="10247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33203125" style="106"/>
    <col min="10501" max="10502" width="0" style="106" hidden="1" customWidth="1"/>
    <col min="10503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33203125" style="106"/>
    <col min="10757" max="10758" width="0" style="106" hidden="1" customWidth="1"/>
    <col min="10759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33203125" style="106"/>
    <col min="11013" max="11014" width="0" style="106" hidden="1" customWidth="1"/>
    <col min="11015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33203125" style="106"/>
    <col min="11269" max="11270" width="0" style="106" hidden="1" customWidth="1"/>
    <col min="11271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33203125" style="106"/>
    <col min="11525" max="11526" width="0" style="106" hidden="1" customWidth="1"/>
    <col min="11527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33203125" style="106"/>
    <col min="11781" max="11782" width="0" style="106" hidden="1" customWidth="1"/>
    <col min="11783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33203125" style="106"/>
    <col min="12037" max="12038" width="0" style="106" hidden="1" customWidth="1"/>
    <col min="12039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33203125" style="106"/>
    <col min="12293" max="12294" width="0" style="106" hidden="1" customWidth="1"/>
    <col min="12295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33203125" style="106"/>
    <col min="12549" max="12550" width="0" style="106" hidden="1" customWidth="1"/>
    <col min="12551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33203125" style="106"/>
    <col min="12805" max="12806" width="0" style="106" hidden="1" customWidth="1"/>
    <col min="12807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33203125" style="106"/>
    <col min="13061" max="13062" width="0" style="106" hidden="1" customWidth="1"/>
    <col min="13063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33203125" style="106"/>
    <col min="13317" max="13318" width="0" style="106" hidden="1" customWidth="1"/>
    <col min="13319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33203125" style="106"/>
    <col min="13573" max="13574" width="0" style="106" hidden="1" customWidth="1"/>
    <col min="13575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33203125" style="106"/>
    <col min="13829" max="13830" width="0" style="106" hidden="1" customWidth="1"/>
    <col min="13831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33203125" style="106"/>
    <col min="14085" max="14086" width="0" style="106" hidden="1" customWidth="1"/>
    <col min="14087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33203125" style="106"/>
    <col min="14341" max="14342" width="0" style="106" hidden="1" customWidth="1"/>
    <col min="14343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33203125" style="106"/>
    <col min="14597" max="14598" width="0" style="106" hidden="1" customWidth="1"/>
    <col min="14599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33203125" style="106"/>
    <col min="14853" max="14854" width="0" style="106" hidden="1" customWidth="1"/>
    <col min="14855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33203125" style="106"/>
    <col min="15109" max="15110" width="0" style="106" hidden="1" customWidth="1"/>
    <col min="15111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33203125" style="106"/>
    <col min="15365" max="15366" width="0" style="106" hidden="1" customWidth="1"/>
    <col min="15367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33203125" style="106"/>
    <col min="15621" max="15622" width="0" style="106" hidden="1" customWidth="1"/>
    <col min="15623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33203125" style="106"/>
    <col min="15877" max="15878" width="0" style="106" hidden="1" customWidth="1"/>
    <col min="15879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33203125" style="106"/>
    <col min="16133" max="16134" width="0" style="106" hidden="1" customWidth="1"/>
    <col min="16135" max="16384" width="9.33203125" style="106"/>
  </cols>
  <sheetData>
    <row r="1" spans="1:6" s="926" customFormat="1" ht="21" customHeight="1" thickBot="1" x14ac:dyDescent="0.25">
      <c r="A1" s="947"/>
      <c r="B1" s="948"/>
      <c r="C1" s="975"/>
      <c r="E1" s="933"/>
      <c r="F1" s="933"/>
    </row>
    <row r="2" spans="1:6" s="928" customFormat="1" ht="36" customHeight="1" x14ac:dyDescent="0.2">
      <c r="A2" s="967" t="s">
        <v>158</v>
      </c>
      <c r="B2" s="965" t="s">
        <v>532</v>
      </c>
      <c r="C2" s="976" t="s">
        <v>62</v>
      </c>
      <c r="E2" s="934"/>
      <c r="F2" s="934"/>
    </row>
    <row r="3" spans="1:6" s="928" customFormat="1" ht="24.75" thickBot="1" x14ac:dyDescent="0.25">
      <c r="A3" s="969" t="s">
        <v>157</v>
      </c>
      <c r="B3" s="966" t="s">
        <v>336</v>
      </c>
      <c r="C3" s="977" t="s">
        <v>54</v>
      </c>
      <c r="E3" s="934"/>
      <c r="F3" s="934"/>
    </row>
    <row r="4" spans="1:6" s="929" customFormat="1" ht="15.95" customHeight="1" thickBot="1" x14ac:dyDescent="0.3">
      <c r="A4" s="949"/>
      <c r="B4" s="949"/>
      <c r="C4" s="978" t="s">
        <v>553</v>
      </c>
      <c r="E4" s="934"/>
      <c r="F4" s="934"/>
    </row>
    <row r="5" spans="1:6" ht="13.5" thickBot="1" x14ac:dyDescent="0.25">
      <c r="A5" s="968" t="s">
        <v>159</v>
      </c>
      <c r="B5" s="950" t="s">
        <v>55</v>
      </c>
      <c r="C5" s="979" t="s">
        <v>56</v>
      </c>
    </row>
    <row r="6" spans="1:6" s="930" customFormat="1" ht="12.95" customHeight="1" thickBot="1" x14ac:dyDescent="0.25">
      <c r="A6" s="944" t="s">
        <v>443</v>
      </c>
      <c r="B6" s="945" t="s">
        <v>444</v>
      </c>
      <c r="C6" s="980" t="s">
        <v>445</v>
      </c>
      <c r="E6" s="935"/>
      <c r="F6" s="935"/>
    </row>
    <row r="7" spans="1:6" s="930" customFormat="1" ht="15.95" customHeight="1" thickBot="1" x14ac:dyDescent="0.25">
      <c r="A7" s="951"/>
      <c r="B7" s="952" t="s">
        <v>57</v>
      </c>
      <c r="C7" s="981"/>
      <c r="E7" s="935"/>
      <c r="F7" s="935"/>
    </row>
    <row r="8" spans="1:6" s="927" customFormat="1" ht="12" customHeight="1" thickBot="1" x14ac:dyDescent="0.25">
      <c r="A8" s="944" t="s">
        <v>19</v>
      </c>
      <c r="B8" s="953" t="s">
        <v>519</v>
      </c>
      <c r="C8" s="998">
        <f>SUM(C9:C19)</f>
        <v>62717229</v>
      </c>
      <c r="E8" s="936" t="e">
        <f>'9.5.1. sz. mell VK '!C8+#REF!</f>
        <v>#REF!</v>
      </c>
      <c r="F8" s="936" t="e">
        <f>C8-E8</f>
        <v>#REF!</v>
      </c>
    </row>
    <row r="9" spans="1:6" s="927" customFormat="1" ht="12" customHeight="1" x14ac:dyDescent="0.2">
      <c r="A9" s="970" t="s">
        <v>95</v>
      </c>
      <c r="B9" s="941" t="s">
        <v>212</v>
      </c>
      <c r="C9" s="983"/>
      <c r="E9" s="936" t="e">
        <f>'9.5.1. sz. mell VK '!C9+#REF!</f>
        <v>#REF!</v>
      </c>
      <c r="F9" s="936" t="e">
        <f t="shared" ref="F9:F60" si="0">C9-E9</f>
        <v>#REF!</v>
      </c>
    </row>
    <row r="10" spans="1:6" s="927" customFormat="1" ht="12" customHeight="1" x14ac:dyDescent="0.2">
      <c r="A10" s="971" t="s">
        <v>96</v>
      </c>
      <c r="B10" s="939" t="s">
        <v>213</v>
      </c>
      <c r="C10" s="984">
        <f>32107480+1334000</f>
        <v>33441480</v>
      </c>
      <c r="E10" s="936" t="e">
        <f>'9.5.1. sz. mell VK '!C10+#REF!</f>
        <v>#REF!</v>
      </c>
      <c r="F10" s="936" t="e">
        <f t="shared" si="0"/>
        <v>#REF!</v>
      </c>
    </row>
    <row r="11" spans="1:6" s="927" customFormat="1" ht="12" customHeight="1" x14ac:dyDescent="0.2">
      <c r="A11" s="971" t="s">
        <v>97</v>
      </c>
      <c r="B11" s="939" t="s">
        <v>214</v>
      </c>
      <c r="C11" s="984">
        <v>1586000</v>
      </c>
      <c r="E11" s="936" t="e">
        <f>'9.5.1. sz. mell VK '!C11+#REF!</f>
        <v>#REF!</v>
      </c>
      <c r="F11" s="936" t="e">
        <f t="shared" si="0"/>
        <v>#REF!</v>
      </c>
    </row>
    <row r="12" spans="1:6" s="927" customFormat="1" ht="12" customHeight="1" x14ac:dyDescent="0.2">
      <c r="A12" s="971" t="s">
        <v>98</v>
      </c>
      <c r="B12" s="939" t="s">
        <v>215</v>
      </c>
      <c r="C12" s="984"/>
      <c r="E12" s="936" t="e">
        <f>'9.5.1. sz. mell VK '!C12+#REF!</f>
        <v>#REF!</v>
      </c>
      <c r="F12" s="936" t="e">
        <f t="shared" si="0"/>
        <v>#REF!</v>
      </c>
    </row>
    <row r="13" spans="1:6" s="927" customFormat="1" ht="12" customHeight="1" x14ac:dyDescent="0.2">
      <c r="A13" s="971" t="s">
        <v>121</v>
      </c>
      <c r="B13" s="939" t="s">
        <v>216</v>
      </c>
      <c r="C13" s="1018">
        <f>17535396-1900000</f>
        <v>15635396</v>
      </c>
      <c r="E13" s="936" t="e">
        <f>'9.5.1. sz. mell VK '!C13+#REF!</f>
        <v>#REF!</v>
      </c>
      <c r="F13" s="936" t="e">
        <f t="shared" si="0"/>
        <v>#REF!</v>
      </c>
    </row>
    <row r="14" spans="1:6" s="927" customFormat="1" ht="12" customHeight="1" x14ac:dyDescent="0.2">
      <c r="A14" s="971" t="s">
        <v>99</v>
      </c>
      <c r="B14" s="939" t="s">
        <v>337</v>
      </c>
      <c r="C14" s="1018">
        <f>4914377-496000</f>
        <v>4418377</v>
      </c>
      <c r="E14" s="936" t="e">
        <f>'9.5.1. sz. mell VK '!C14+#REF!</f>
        <v>#REF!</v>
      </c>
      <c r="F14" s="936" t="e">
        <f t="shared" si="0"/>
        <v>#REF!</v>
      </c>
    </row>
    <row r="15" spans="1:6" s="927" customFormat="1" ht="12" customHeight="1" x14ac:dyDescent="0.2">
      <c r="A15" s="971" t="s">
        <v>100</v>
      </c>
      <c r="B15" s="938" t="s">
        <v>338</v>
      </c>
      <c r="C15" s="984">
        <v>7614000</v>
      </c>
      <c r="E15" s="936" t="e">
        <f>'9.5.1. sz. mell VK '!C15+#REF!</f>
        <v>#REF!</v>
      </c>
      <c r="F15" s="936" t="e">
        <f t="shared" si="0"/>
        <v>#REF!</v>
      </c>
    </row>
    <row r="16" spans="1:6" s="927" customFormat="1" ht="12" customHeight="1" x14ac:dyDescent="0.2">
      <c r="A16" s="971" t="s">
        <v>110</v>
      </c>
      <c r="B16" s="939" t="s">
        <v>219</v>
      </c>
      <c r="C16" s="985"/>
      <c r="E16" s="936" t="e">
        <f>'9.5.1. sz. mell VK '!C16+#REF!</f>
        <v>#REF!</v>
      </c>
      <c r="F16" s="936" t="e">
        <f t="shared" si="0"/>
        <v>#REF!</v>
      </c>
    </row>
    <row r="17" spans="1:6" s="931" customFormat="1" ht="12" customHeight="1" x14ac:dyDescent="0.2">
      <c r="A17" s="971" t="s">
        <v>111</v>
      </c>
      <c r="B17" s="939" t="s">
        <v>220</v>
      </c>
      <c r="C17" s="984"/>
      <c r="E17" s="936" t="e">
        <f>'9.5.1. sz. mell VK '!C17+#REF!</f>
        <v>#REF!</v>
      </c>
      <c r="F17" s="936" t="e">
        <f t="shared" si="0"/>
        <v>#REF!</v>
      </c>
    </row>
    <row r="18" spans="1:6" s="931" customFormat="1" ht="12" customHeight="1" x14ac:dyDescent="0.2">
      <c r="A18" s="971" t="s">
        <v>112</v>
      </c>
      <c r="B18" s="939" t="s">
        <v>449</v>
      </c>
      <c r="C18" s="986"/>
      <c r="E18" s="936" t="e">
        <f>'9.5.1. sz. mell VK '!C18+#REF!</f>
        <v>#REF!</v>
      </c>
      <c r="F18" s="936" t="e">
        <f t="shared" si="0"/>
        <v>#REF!</v>
      </c>
    </row>
    <row r="19" spans="1:6" s="931" customFormat="1" ht="12" customHeight="1" thickBot="1" x14ac:dyDescent="0.25">
      <c r="A19" s="971" t="s">
        <v>113</v>
      </c>
      <c r="B19" s="938" t="s">
        <v>221</v>
      </c>
      <c r="C19" s="1049">
        <f>11081+10895</f>
        <v>21976</v>
      </c>
      <c r="E19" s="936" t="e">
        <f>'9.5.1. sz. mell VK '!C19+#REF!</f>
        <v>#REF!</v>
      </c>
      <c r="F19" s="936" t="e">
        <f t="shared" si="0"/>
        <v>#REF!</v>
      </c>
    </row>
    <row r="20" spans="1:6" s="927" customFormat="1" ht="12" customHeight="1" thickBot="1" x14ac:dyDescent="0.25">
      <c r="A20" s="944" t="s">
        <v>20</v>
      </c>
      <c r="B20" s="953" t="s">
        <v>339</v>
      </c>
      <c r="C20" s="982">
        <f>SUM(C21:C23)</f>
        <v>3029325</v>
      </c>
      <c r="E20" s="936" t="e">
        <f>'9.5.1. sz. mell VK '!C20+#REF!</f>
        <v>#REF!</v>
      </c>
      <c r="F20" s="936" t="e">
        <f t="shared" si="0"/>
        <v>#REF!</v>
      </c>
    </row>
    <row r="21" spans="1:6" s="931" customFormat="1" ht="12" customHeight="1" x14ac:dyDescent="0.2">
      <c r="A21" s="971" t="s">
        <v>101</v>
      </c>
      <c r="B21" s="940" t="s">
        <v>190</v>
      </c>
      <c r="C21" s="987"/>
      <c r="E21" s="936" t="e">
        <f>'9.5.1. sz. mell VK '!C21+#REF!</f>
        <v>#REF!</v>
      </c>
      <c r="F21" s="936" t="e">
        <f t="shared" si="0"/>
        <v>#REF!</v>
      </c>
    </row>
    <row r="22" spans="1:6" s="931" customFormat="1" ht="12" customHeight="1" x14ac:dyDescent="0.2">
      <c r="A22" s="971" t="s">
        <v>102</v>
      </c>
      <c r="B22" s="939" t="s">
        <v>340</v>
      </c>
      <c r="C22" s="984"/>
      <c r="E22" s="936" t="e">
        <f>'9.5.1. sz. mell VK '!C22+#REF!</f>
        <v>#REF!</v>
      </c>
      <c r="F22" s="936" t="e">
        <f t="shared" si="0"/>
        <v>#REF!</v>
      </c>
    </row>
    <row r="23" spans="1:6" s="931" customFormat="1" ht="12" customHeight="1" x14ac:dyDescent="0.2">
      <c r="A23" s="971" t="s">
        <v>103</v>
      </c>
      <c r="B23" s="939" t="s">
        <v>341</v>
      </c>
      <c r="C23" s="984">
        <f>1631175+1398150</f>
        <v>3029325</v>
      </c>
      <c r="E23" s="936" t="e">
        <f>'9.5.1. sz. mell VK '!C23+#REF!</f>
        <v>#REF!</v>
      </c>
      <c r="F23" s="936" t="e">
        <f t="shared" si="0"/>
        <v>#REF!</v>
      </c>
    </row>
    <row r="24" spans="1:6" s="931" customFormat="1" ht="12" customHeight="1" thickBot="1" x14ac:dyDescent="0.25">
      <c r="A24" s="971" t="s">
        <v>104</v>
      </c>
      <c r="B24" s="939" t="s">
        <v>520</v>
      </c>
      <c r="C24" s="984">
        <f>1631175+1398150</f>
        <v>3029325</v>
      </c>
      <c r="E24" s="936" t="e">
        <f>'9.5.1. sz. mell VK '!C24+#REF!</f>
        <v>#REF!</v>
      </c>
      <c r="F24" s="936" t="e">
        <f t="shared" si="0"/>
        <v>#REF!</v>
      </c>
    </row>
    <row r="25" spans="1:6" s="931" customFormat="1" ht="12" customHeight="1" thickBot="1" x14ac:dyDescent="0.25">
      <c r="A25" s="946" t="s">
        <v>21</v>
      </c>
      <c r="B25" s="942" t="s">
        <v>135</v>
      </c>
      <c r="C25" s="988"/>
      <c r="E25" s="936" t="e">
        <f>'9.5.1. sz. mell VK '!C25+#REF!</f>
        <v>#REF!</v>
      </c>
      <c r="F25" s="936" t="e">
        <f t="shared" si="0"/>
        <v>#REF!</v>
      </c>
    </row>
    <row r="26" spans="1:6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  <c r="E26" s="936" t="e">
        <f>'9.5.1. sz. mell VK '!C26+#REF!</f>
        <v>#REF!</v>
      </c>
      <c r="F26" s="936" t="e">
        <f t="shared" si="0"/>
        <v>#REF!</v>
      </c>
    </row>
    <row r="27" spans="1:6" s="931" customFormat="1" ht="12" customHeight="1" x14ac:dyDescent="0.2">
      <c r="A27" s="972" t="s">
        <v>200</v>
      </c>
      <c r="B27" s="973" t="s">
        <v>195</v>
      </c>
      <c r="C27" s="989"/>
      <c r="E27" s="936" t="e">
        <f>'9.5.1. sz. mell VK '!C27+#REF!</f>
        <v>#REF!</v>
      </c>
      <c r="F27" s="936" t="e">
        <f t="shared" si="0"/>
        <v>#REF!</v>
      </c>
    </row>
    <row r="28" spans="1:6" s="931" customFormat="1" ht="12" customHeight="1" x14ac:dyDescent="0.2">
      <c r="A28" s="972" t="s">
        <v>203</v>
      </c>
      <c r="B28" s="973" t="s">
        <v>340</v>
      </c>
      <c r="C28" s="987"/>
      <c r="E28" s="936" t="e">
        <f>'9.5.1. sz. mell VK '!C28+#REF!</f>
        <v>#REF!</v>
      </c>
      <c r="F28" s="936" t="e">
        <f t="shared" si="0"/>
        <v>#REF!</v>
      </c>
    </row>
    <row r="29" spans="1:6" s="931" customFormat="1" ht="12" customHeight="1" x14ac:dyDescent="0.2">
      <c r="A29" s="972" t="s">
        <v>204</v>
      </c>
      <c r="B29" s="974" t="s">
        <v>342</v>
      </c>
      <c r="C29" s="987"/>
      <c r="E29" s="936" t="e">
        <f>'9.5.1. sz. mell VK '!C29+#REF!</f>
        <v>#REF!</v>
      </c>
      <c r="F29" s="936" t="e">
        <f t="shared" si="0"/>
        <v>#REF!</v>
      </c>
    </row>
    <row r="30" spans="1:6" s="931" customFormat="1" ht="12" customHeight="1" thickBot="1" x14ac:dyDescent="0.25">
      <c r="A30" s="971" t="s">
        <v>205</v>
      </c>
      <c r="B30" s="943" t="s">
        <v>522</v>
      </c>
      <c r="C30" s="990"/>
      <c r="E30" s="936" t="e">
        <f>'9.5.1. sz. mell VK '!C30+#REF!</f>
        <v>#REF!</v>
      </c>
      <c r="F30" s="936" t="e">
        <f t="shared" si="0"/>
        <v>#REF!</v>
      </c>
    </row>
    <row r="31" spans="1:6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  <c r="E31" s="936" t="e">
        <f>'9.5.1. sz. mell VK '!C31+#REF!</f>
        <v>#REF!</v>
      </c>
      <c r="F31" s="936" t="e">
        <f t="shared" si="0"/>
        <v>#REF!</v>
      </c>
    </row>
    <row r="32" spans="1:6" s="931" customFormat="1" ht="12" customHeight="1" x14ac:dyDescent="0.2">
      <c r="A32" s="972" t="s">
        <v>88</v>
      </c>
      <c r="B32" s="973" t="s">
        <v>226</v>
      </c>
      <c r="C32" s="989"/>
      <c r="E32" s="936" t="e">
        <f>'9.5.1. sz. mell VK '!C32+#REF!</f>
        <v>#REF!</v>
      </c>
      <c r="F32" s="936" t="e">
        <f t="shared" si="0"/>
        <v>#REF!</v>
      </c>
    </row>
    <row r="33" spans="1:6" s="931" customFormat="1" ht="12" customHeight="1" x14ac:dyDescent="0.2">
      <c r="A33" s="972" t="s">
        <v>89</v>
      </c>
      <c r="B33" s="974" t="s">
        <v>227</v>
      </c>
      <c r="C33" s="985"/>
      <c r="E33" s="936" t="e">
        <f>'9.5.1. sz. mell VK '!C33+#REF!</f>
        <v>#REF!</v>
      </c>
      <c r="F33" s="936" t="e">
        <f t="shared" si="0"/>
        <v>#REF!</v>
      </c>
    </row>
    <row r="34" spans="1:6" s="927" customFormat="1" ht="12" customHeight="1" thickBot="1" x14ac:dyDescent="0.25">
      <c r="A34" s="971" t="s">
        <v>90</v>
      </c>
      <c r="B34" s="943" t="s">
        <v>228</v>
      </c>
      <c r="C34" s="990"/>
      <c r="E34" s="936" t="e">
        <f>'9.5.1. sz. mell VK '!C34+#REF!</f>
        <v>#REF!</v>
      </c>
      <c r="F34" s="936" t="e">
        <f t="shared" si="0"/>
        <v>#REF!</v>
      </c>
    </row>
    <row r="35" spans="1:6" s="927" customFormat="1" ht="12" customHeight="1" thickBot="1" x14ac:dyDescent="0.25">
      <c r="A35" s="946" t="s">
        <v>24</v>
      </c>
      <c r="B35" s="942" t="s">
        <v>314</v>
      </c>
      <c r="C35" s="988"/>
      <c r="E35" s="936" t="e">
        <f>'9.5.1. sz. mell VK '!C35+#REF!</f>
        <v>#REF!</v>
      </c>
      <c r="F35" s="936" t="e">
        <f t="shared" si="0"/>
        <v>#REF!</v>
      </c>
    </row>
    <row r="36" spans="1:6" s="927" customFormat="1" ht="12" customHeight="1" thickBot="1" x14ac:dyDescent="0.25">
      <c r="A36" s="946" t="s">
        <v>25</v>
      </c>
      <c r="B36" s="942" t="s">
        <v>344</v>
      </c>
      <c r="C36" s="991"/>
      <c r="E36" s="936" t="e">
        <f>'9.5.1. sz. mell VK '!C36+#REF!</f>
        <v>#REF!</v>
      </c>
      <c r="F36" s="936" t="e">
        <f t="shared" si="0"/>
        <v>#REF!</v>
      </c>
    </row>
    <row r="37" spans="1:6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65746554</v>
      </c>
      <c r="E37" s="936" t="e">
        <f>'9.5.1. sz. mell VK '!C37+#REF!</f>
        <v>#REF!</v>
      </c>
      <c r="F37" s="936" t="e">
        <f t="shared" si="0"/>
        <v>#REF!</v>
      </c>
    </row>
    <row r="38" spans="1:6" s="927" customFormat="1" ht="12" customHeight="1" thickBot="1" x14ac:dyDescent="0.25">
      <c r="A38" s="954" t="s">
        <v>27</v>
      </c>
      <c r="B38" s="942" t="s">
        <v>346</v>
      </c>
      <c r="C38" s="999">
        <f>+C39+C40+C41</f>
        <v>206548632</v>
      </c>
      <c r="E38" s="936" t="e">
        <f>'9.5.1. sz. mell VK '!C38+#REF!</f>
        <v>#REF!</v>
      </c>
      <c r="F38" s="936" t="e">
        <f t="shared" si="0"/>
        <v>#REF!</v>
      </c>
    </row>
    <row r="39" spans="1:6" s="927" customFormat="1" ht="12" customHeight="1" x14ac:dyDescent="0.2">
      <c r="A39" s="972" t="s">
        <v>347</v>
      </c>
      <c r="B39" s="973" t="s">
        <v>172</v>
      </c>
      <c r="C39" s="989">
        <v>1550858</v>
      </c>
      <c r="E39" s="936" t="e">
        <f>'9.5.1. sz. mell VK '!C39+#REF!</f>
        <v>#REF!</v>
      </c>
      <c r="F39" s="936" t="e">
        <f t="shared" si="0"/>
        <v>#REF!</v>
      </c>
    </row>
    <row r="40" spans="1:6" s="931" customFormat="1" ht="12" customHeight="1" x14ac:dyDescent="0.2">
      <c r="A40" s="972" t="s">
        <v>348</v>
      </c>
      <c r="B40" s="974" t="s">
        <v>10</v>
      </c>
      <c r="C40" s="985"/>
      <c r="E40" s="936" t="e">
        <f>'9.5.1. sz. mell VK '!C40+#REF!</f>
        <v>#REF!</v>
      </c>
      <c r="F40" s="936" t="e">
        <f t="shared" si="0"/>
        <v>#REF!</v>
      </c>
    </row>
    <row r="41" spans="1:6" s="931" customFormat="1" ht="15" customHeight="1" thickBot="1" x14ac:dyDescent="0.25">
      <c r="A41" s="971" t="s">
        <v>349</v>
      </c>
      <c r="B41" s="943" t="s">
        <v>350</v>
      </c>
      <c r="C41" s="1028">
        <f>238957245+846360+932600+1350000+200000+7043400+221980+358500+70000-491420-43110023+1652482+661250-1414000-509600-1771000</f>
        <v>204997774</v>
      </c>
      <c r="E41" s="936" t="e">
        <f>'9.5.1. sz. mell VK '!C41+#REF!</f>
        <v>#REF!</v>
      </c>
      <c r="F41" s="936" t="e">
        <f t="shared" si="0"/>
        <v>#REF!</v>
      </c>
    </row>
    <row r="42" spans="1:6" s="931" customFormat="1" ht="15" customHeight="1" thickBot="1" x14ac:dyDescent="0.25">
      <c r="A42" s="954" t="s">
        <v>28</v>
      </c>
      <c r="B42" s="955" t="s">
        <v>351</v>
      </c>
      <c r="C42" s="999">
        <f>+C37+C38</f>
        <v>272295186</v>
      </c>
      <c r="E42" s="936" t="e">
        <f>'9.5.1. sz. mell VK '!C42+#REF!</f>
        <v>#REF!</v>
      </c>
      <c r="F42" s="936" t="e">
        <f t="shared" si="0"/>
        <v>#REF!</v>
      </c>
    </row>
    <row r="43" spans="1:6" x14ac:dyDescent="0.2">
      <c r="A43" s="956"/>
      <c r="B43" s="957"/>
      <c r="C43" s="994"/>
      <c r="E43" s="936" t="e">
        <f>'9.5.1. sz. mell VK '!C43+#REF!</f>
        <v>#REF!</v>
      </c>
      <c r="F43" s="936" t="e">
        <f t="shared" si="0"/>
        <v>#REF!</v>
      </c>
    </row>
    <row r="44" spans="1:6" s="930" customFormat="1" ht="16.5" customHeight="1" thickBot="1" x14ac:dyDescent="0.25">
      <c r="A44" s="958"/>
      <c r="B44" s="959"/>
      <c r="C44" s="995"/>
      <c r="E44" s="936" t="e">
        <f>'9.5.1. sz. mell VK '!C44+#REF!</f>
        <v>#REF!</v>
      </c>
      <c r="F44" s="936" t="e">
        <f t="shared" si="0"/>
        <v>#REF!</v>
      </c>
    </row>
    <row r="45" spans="1:6" s="932" customFormat="1" ht="12" customHeight="1" thickBot="1" x14ac:dyDescent="0.25">
      <c r="A45" s="960"/>
      <c r="B45" s="961" t="s">
        <v>58</v>
      </c>
      <c r="C45" s="993"/>
      <c r="E45" s="936" t="e">
        <f>'9.5.1. sz. mell VK '!C45+#REF!</f>
        <v>#REF!</v>
      </c>
      <c r="F45" s="936" t="e">
        <f t="shared" si="0"/>
        <v>#REF!</v>
      </c>
    </row>
    <row r="46" spans="1:6" ht="12" customHeight="1" thickBot="1" x14ac:dyDescent="0.25">
      <c r="A46" s="946" t="s">
        <v>19</v>
      </c>
      <c r="B46" s="942" t="s">
        <v>352</v>
      </c>
      <c r="C46" s="998">
        <f>SUM(C47:C51)</f>
        <v>271719136</v>
      </c>
      <c r="E46" s="936" t="e">
        <f>'9.5.1. sz. mell VK '!C46+#REF!</f>
        <v>#REF!</v>
      </c>
      <c r="F46" s="936" t="e">
        <f t="shared" si="0"/>
        <v>#REF!</v>
      </c>
    </row>
    <row r="47" spans="1:6" ht="12" customHeight="1" x14ac:dyDescent="0.2">
      <c r="A47" s="971" t="s">
        <v>95</v>
      </c>
      <c r="B47" s="940" t="s">
        <v>49</v>
      </c>
      <c r="C47" s="989">
        <f>60512486+720000+1365000+110000+9273+1170000+300000-38124</f>
        <v>64148635</v>
      </c>
      <c r="E47" s="936" t="e">
        <f>'9.5.1. sz. mell VK '!C47+#REF!</f>
        <v>#REF!</v>
      </c>
      <c r="F47" s="936" t="e">
        <f t="shared" si="0"/>
        <v>#REF!</v>
      </c>
    </row>
    <row r="48" spans="1:6" ht="12" customHeight="1" x14ac:dyDescent="0.2">
      <c r="A48" s="971" t="s">
        <v>96</v>
      </c>
      <c r="B48" s="939" t="s">
        <v>144</v>
      </c>
      <c r="C48" s="984">
        <f>13261042+126360+266175+44781+1808+228150+58500-491420-12665</f>
        <v>13482731</v>
      </c>
      <c r="E48" s="936" t="e">
        <f>'9.5.1. sz. mell VK '!C48+#REF!</f>
        <v>#REF!</v>
      </c>
      <c r="F48" s="936" t="e">
        <f t="shared" si="0"/>
        <v>#REF!</v>
      </c>
    </row>
    <row r="49" spans="1:6" ht="12" customHeight="1" x14ac:dyDescent="0.2">
      <c r="A49" s="971" t="s">
        <v>97</v>
      </c>
      <c r="B49" s="939" t="s">
        <v>120</v>
      </c>
      <c r="C49" s="1018">
        <f>229985778+932600+1350000+200000+6888619+1555980-43110023+61684+1652482+661250-3810000-509600-755000-1016000</f>
        <v>194087770</v>
      </c>
      <c r="E49" s="936" t="e">
        <f>'9.5.1. sz. mell VK '!C49+#REF!</f>
        <v>#REF!</v>
      </c>
      <c r="F49" s="936" t="e">
        <f t="shared" si="0"/>
        <v>#REF!</v>
      </c>
    </row>
    <row r="50" spans="1:6" ht="12" customHeight="1" x14ac:dyDescent="0.2">
      <c r="A50" s="971" t="s">
        <v>98</v>
      </c>
      <c r="B50" s="939" t="s">
        <v>145</v>
      </c>
      <c r="C50" s="984"/>
      <c r="E50" s="936" t="e">
        <f>'9.5.1. sz. mell VK '!C50+#REF!</f>
        <v>#REF!</v>
      </c>
      <c r="F50" s="936" t="e">
        <f t="shared" si="0"/>
        <v>#REF!</v>
      </c>
    </row>
    <row r="51" spans="1:6" ht="12" customHeight="1" thickBot="1" x14ac:dyDescent="0.25">
      <c r="A51" s="971" t="s">
        <v>121</v>
      </c>
      <c r="B51" s="939" t="s">
        <v>146</v>
      </c>
      <c r="C51" s="984"/>
      <c r="E51" s="936" t="e">
        <f>'9.5.1. sz. mell VK '!C51+#REF!</f>
        <v>#REF!</v>
      </c>
      <c r="F51" s="936" t="e">
        <f t="shared" si="0"/>
        <v>#REF!</v>
      </c>
    </row>
    <row r="52" spans="1:6" s="932" customFormat="1" ht="12" customHeight="1" thickBot="1" x14ac:dyDescent="0.25">
      <c r="A52" s="946" t="s">
        <v>20</v>
      </c>
      <c r="B52" s="942" t="s">
        <v>353</v>
      </c>
      <c r="C52" s="982">
        <f>SUM(C53:C55)</f>
        <v>576050</v>
      </c>
      <c r="E52" s="936" t="e">
        <f>'9.5.1. sz. mell VK '!C52+#REF!</f>
        <v>#REF!</v>
      </c>
      <c r="F52" s="936" t="e">
        <f t="shared" si="0"/>
        <v>#REF!</v>
      </c>
    </row>
    <row r="53" spans="1:6" ht="12" customHeight="1" x14ac:dyDescent="0.2">
      <c r="A53" s="971" t="s">
        <v>101</v>
      </c>
      <c r="B53" s="940" t="s">
        <v>163</v>
      </c>
      <c r="C53" s="989">
        <f>506050+70000</f>
        <v>576050</v>
      </c>
      <c r="E53" s="936" t="e">
        <f>'9.5.1. sz. mell VK '!C53+#REF!</f>
        <v>#REF!</v>
      </c>
      <c r="F53" s="936" t="e">
        <f t="shared" si="0"/>
        <v>#REF!</v>
      </c>
    </row>
    <row r="54" spans="1:6" ht="12" customHeight="1" x14ac:dyDescent="0.2">
      <c r="A54" s="971" t="s">
        <v>102</v>
      </c>
      <c r="B54" s="939" t="s">
        <v>148</v>
      </c>
      <c r="C54" s="984"/>
      <c r="E54" s="936" t="e">
        <f>'9.5.1. sz. mell VK '!C54+#REF!</f>
        <v>#REF!</v>
      </c>
      <c r="F54" s="936" t="e">
        <f t="shared" si="0"/>
        <v>#REF!</v>
      </c>
    </row>
    <row r="55" spans="1:6" ht="12" customHeight="1" x14ac:dyDescent="0.2">
      <c r="A55" s="971" t="s">
        <v>103</v>
      </c>
      <c r="B55" s="939" t="s">
        <v>59</v>
      </c>
      <c r="C55" s="984"/>
      <c r="E55" s="936" t="e">
        <f>'9.5.1. sz. mell VK '!C55+#REF!</f>
        <v>#REF!</v>
      </c>
      <c r="F55" s="936" t="e">
        <f t="shared" si="0"/>
        <v>#REF!</v>
      </c>
    </row>
    <row r="56" spans="1:6" ht="15" customHeight="1" thickBot="1" x14ac:dyDescent="0.25">
      <c r="A56" s="971" t="s">
        <v>104</v>
      </c>
      <c r="B56" s="939" t="s">
        <v>523</v>
      </c>
      <c r="C56" s="984"/>
      <c r="E56" s="936" t="e">
        <f>'9.5.1. sz. mell VK '!C56+#REF!</f>
        <v>#REF!</v>
      </c>
      <c r="F56" s="936" t="e">
        <f t="shared" si="0"/>
        <v>#REF!</v>
      </c>
    </row>
    <row r="57" spans="1:6" ht="13.5" thickBot="1" x14ac:dyDescent="0.25">
      <c r="A57" s="946" t="s">
        <v>21</v>
      </c>
      <c r="B57" s="942" t="s">
        <v>13</v>
      </c>
      <c r="C57" s="988"/>
      <c r="E57" s="936" t="e">
        <f>'9.5.1. sz. mell VK '!C57+#REF!</f>
        <v>#REF!</v>
      </c>
      <c r="F57" s="936" t="e">
        <f t="shared" si="0"/>
        <v>#REF!</v>
      </c>
    </row>
    <row r="58" spans="1:6" ht="15" customHeight="1" thickBot="1" x14ac:dyDescent="0.25">
      <c r="A58" s="946" t="s">
        <v>22</v>
      </c>
      <c r="B58" s="962" t="s">
        <v>524</v>
      </c>
      <c r="C58" s="1000">
        <f>+C46+C52+C57</f>
        <v>272295186</v>
      </c>
      <c r="E58" s="936" t="e">
        <f>'9.5.1. sz. mell VK '!C58+#REF!</f>
        <v>#REF!</v>
      </c>
      <c r="F58" s="936" t="e">
        <f t="shared" si="0"/>
        <v>#REF!</v>
      </c>
    </row>
    <row r="59" spans="1:6" ht="14.25" customHeight="1" thickBot="1" x14ac:dyDescent="0.25">
      <c r="C59" s="996"/>
      <c r="E59" s="936" t="e">
        <f>'9.5.1. sz. mell VK '!C59+#REF!</f>
        <v>#REF!</v>
      </c>
      <c r="F59" s="936" t="e">
        <f t="shared" si="0"/>
        <v>#REF!</v>
      </c>
    </row>
    <row r="60" spans="1:6" x14ac:dyDescent="0.2">
      <c r="A60" s="753" t="s">
        <v>517</v>
      </c>
      <c r="B60" s="754"/>
      <c r="C60" s="755">
        <v>21.17</v>
      </c>
      <c r="E60" s="936" t="e">
        <f>'9.5.1. sz. mell VK '!C60+#REF!</f>
        <v>#REF!</v>
      </c>
      <c r="F60" s="936" t="e">
        <f t="shared" si="0"/>
        <v>#REF!</v>
      </c>
    </row>
    <row r="61" spans="1:6" ht="13.5" thickBot="1" x14ac:dyDescent="0.25">
      <c r="A61" s="1194" t="s">
        <v>779</v>
      </c>
      <c r="B61" s="1195"/>
      <c r="C61" s="771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4/2020.(II.28.)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zoomScaleNormal="115" zoomScaleSheetLayoutView="100" workbookViewId="0">
      <selection activeCell="H112" sqref="H112"/>
    </sheetView>
  </sheetViews>
  <sheetFormatPr defaultRowHeight="15.75" x14ac:dyDescent="0.25"/>
  <cols>
    <col min="1" max="1" width="9.5" style="186" customWidth="1"/>
    <col min="2" max="2" width="74" style="186" customWidth="1"/>
    <col min="3" max="3" width="21.6640625" style="312" customWidth="1"/>
    <col min="4" max="4" width="19.33203125" style="197" hidden="1" customWidth="1"/>
    <col min="5" max="5" width="15.83203125" style="197" hidden="1" customWidth="1"/>
    <col min="6" max="6" width="21.83203125" style="197" hidden="1" customWidth="1"/>
    <col min="7" max="16384" width="9.33203125" style="197"/>
  </cols>
  <sheetData>
    <row r="1" spans="1:6" ht="15.95" customHeight="1" x14ac:dyDescent="0.25">
      <c r="A1" s="1172" t="s">
        <v>16</v>
      </c>
      <c r="B1" s="1172"/>
      <c r="C1" s="1172"/>
    </row>
    <row r="2" spans="1:6" ht="15.95" customHeight="1" thickBot="1" x14ac:dyDescent="0.3">
      <c r="A2" s="1171" t="s">
        <v>124</v>
      </c>
      <c r="B2" s="1171"/>
      <c r="C2" s="131" t="s">
        <v>552</v>
      </c>
    </row>
    <row r="3" spans="1:6" ht="38.1" customHeight="1" thickBot="1" x14ac:dyDescent="0.3">
      <c r="A3" s="21" t="s">
        <v>70</v>
      </c>
      <c r="B3" s="22" t="s">
        <v>18</v>
      </c>
      <c r="C3" s="32" t="s">
        <v>603</v>
      </c>
      <c r="D3" s="186" t="s">
        <v>558</v>
      </c>
      <c r="E3" s="186" t="s">
        <v>559</v>
      </c>
      <c r="F3" s="186" t="s">
        <v>560</v>
      </c>
    </row>
    <row r="4" spans="1:6" s="198" customFormat="1" ht="12" customHeight="1" thickBot="1" x14ac:dyDescent="0.25">
      <c r="A4" s="192" t="s">
        <v>443</v>
      </c>
      <c r="B4" s="193" t="s">
        <v>444</v>
      </c>
      <c r="C4" s="194" t="s">
        <v>445</v>
      </c>
    </row>
    <row r="5" spans="1:6" s="199" customFormat="1" ht="12" customHeight="1" thickBot="1" x14ac:dyDescent="0.25">
      <c r="A5" s="18" t="s">
        <v>19</v>
      </c>
      <c r="B5" s="19" t="s">
        <v>184</v>
      </c>
      <c r="C5" s="122">
        <f t="shared" ref="C5:C36" si="0">SUM(D5:F5)</f>
        <v>1058123547</v>
      </c>
      <c r="D5" s="281">
        <f>+D6+D7+D8+D9+D10+D11</f>
        <v>1058123547</v>
      </c>
      <c r="E5" s="122">
        <f>+E6+E7+E8+E9+E10+E11</f>
        <v>0</v>
      </c>
      <c r="F5" s="122">
        <f>+F6+F7+F8+F9+F10+F11</f>
        <v>0</v>
      </c>
    </row>
    <row r="6" spans="1:6" s="199" customFormat="1" ht="12" customHeight="1" x14ac:dyDescent="0.2">
      <c r="A6" s="13" t="s">
        <v>95</v>
      </c>
      <c r="B6" s="200" t="s">
        <v>185</v>
      </c>
      <c r="C6" s="925">
        <f t="shared" si="0"/>
        <v>218098142</v>
      </c>
      <c r="D6" s="285">
        <f>211161846+4226000+4709893-1999597</f>
        <v>218098142</v>
      </c>
      <c r="E6" s="238"/>
      <c r="F6" s="238"/>
    </row>
    <row r="7" spans="1:6" s="199" customFormat="1" ht="12" customHeight="1" x14ac:dyDescent="0.2">
      <c r="A7" s="12" t="s">
        <v>96</v>
      </c>
      <c r="B7" s="201" t="s">
        <v>186</v>
      </c>
      <c r="C7" s="921">
        <f t="shared" si="0"/>
        <v>238466411</v>
      </c>
      <c r="D7" s="265">
        <f>235351616+4095000+670926-1651131</f>
        <v>238466411</v>
      </c>
      <c r="E7" s="126"/>
      <c r="F7" s="126"/>
    </row>
    <row r="8" spans="1:6" s="199" customFormat="1" ht="12" customHeight="1" x14ac:dyDescent="0.2">
      <c r="A8" s="12" t="s">
        <v>97</v>
      </c>
      <c r="B8" s="201" t="s">
        <v>542</v>
      </c>
      <c r="C8" s="921">
        <f t="shared" si="0"/>
        <v>518481935</v>
      </c>
      <c r="D8" s="265">
        <f>132342947+82528441+191583306+50232560+61299400+1796961+13607000-1357436-13551244</f>
        <v>518481935</v>
      </c>
      <c r="E8" s="126"/>
      <c r="F8" s="126"/>
    </row>
    <row r="9" spans="1:6" s="199" customFormat="1" ht="12" customHeight="1" x14ac:dyDescent="0.2">
      <c r="A9" s="12" t="s">
        <v>98</v>
      </c>
      <c r="B9" s="201" t="s">
        <v>188</v>
      </c>
      <c r="C9" s="921">
        <f t="shared" si="0"/>
        <v>34753573</v>
      </c>
      <c r="D9" s="265">
        <f>4617241+15998620+12622000+1404000+542000-430288</f>
        <v>34753573</v>
      </c>
      <c r="E9" s="126"/>
      <c r="F9" s="126"/>
    </row>
    <row r="10" spans="1:6" s="199" customFormat="1" ht="12" customHeight="1" x14ac:dyDescent="0.2">
      <c r="A10" s="12" t="s">
        <v>121</v>
      </c>
      <c r="B10" s="118" t="s">
        <v>446</v>
      </c>
      <c r="C10" s="921">
        <f t="shared" si="0"/>
        <v>48323486</v>
      </c>
      <c r="D10" s="265">
        <f>234730936-2600335-5000000+9625137-53811000-4359893-130261359</f>
        <v>48323486</v>
      </c>
      <c r="E10" s="126"/>
      <c r="F10" s="126"/>
    </row>
    <row r="11" spans="1:6" s="199" customFormat="1" ht="12" customHeight="1" thickBot="1" x14ac:dyDescent="0.25">
      <c r="A11" s="14" t="s">
        <v>99</v>
      </c>
      <c r="B11" s="119" t="s">
        <v>447</v>
      </c>
      <c r="C11" s="309">
        <f t="shared" si="0"/>
        <v>0</v>
      </c>
      <c r="D11" s="111"/>
      <c r="E11" s="123"/>
      <c r="F11" s="123"/>
    </row>
    <row r="12" spans="1:6" s="199" customFormat="1" ht="12" customHeight="1" thickBot="1" x14ac:dyDescent="0.25">
      <c r="A12" s="18" t="s">
        <v>20</v>
      </c>
      <c r="B12" s="117" t="s">
        <v>189</v>
      </c>
      <c r="C12" s="122">
        <f t="shared" si="0"/>
        <v>172664472</v>
      </c>
      <c r="D12" s="281">
        <f>+D13+D14+D15+D16+D17</f>
        <v>172664472</v>
      </c>
      <c r="E12" s="122">
        <f>+E13+E14+E15+E16+E17</f>
        <v>0</v>
      </c>
      <c r="F12" s="122">
        <f>+F13+F14+F15+F16+F17</f>
        <v>0</v>
      </c>
    </row>
    <row r="13" spans="1:6" s="199" customFormat="1" ht="12" customHeight="1" x14ac:dyDescent="0.2">
      <c r="A13" s="13" t="s">
        <v>101</v>
      </c>
      <c r="B13" s="200" t="s">
        <v>190</v>
      </c>
      <c r="C13" s="195">
        <f t="shared" si="0"/>
        <v>0</v>
      </c>
      <c r="D13" s="283"/>
      <c r="E13" s="124"/>
      <c r="F13" s="124"/>
    </row>
    <row r="14" spans="1:6" s="199" customFormat="1" ht="12" customHeight="1" x14ac:dyDescent="0.2">
      <c r="A14" s="12" t="s">
        <v>102</v>
      </c>
      <c r="B14" s="201" t="s">
        <v>191</v>
      </c>
      <c r="C14" s="308">
        <f t="shared" si="0"/>
        <v>0</v>
      </c>
      <c r="D14" s="111"/>
      <c r="E14" s="123"/>
      <c r="F14" s="123"/>
    </row>
    <row r="15" spans="1:6" s="199" customFormat="1" ht="12" customHeight="1" x14ac:dyDescent="0.2">
      <c r="A15" s="12" t="s">
        <v>103</v>
      </c>
      <c r="B15" s="201" t="s">
        <v>359</v>
      </c>
      <c r="C15" s="308">
        <f t="shared" si="0"/>
        <v>0</v>
      </c>
      <c r="D15" s="111"/>
      <c r="E15" s="123"/>
      <c r="F15" s="123"/>
    </row>
    <row r="16" spans="1:6" s="199" customFormat="1" ht="12" customHeight="1" x14ac:dyDescent="0.2">
      <c r="A16" s="12" t="s">
        <v>104</v>
      </c>
      <c r="B16" s="201" t="s">
        <v>360</v>
      </c>
      <c r="C16" s="924">
        <f t="shared" si="0"/>
        <v>0</v>
      </c>
      <c r="D16" s="111"/>
      <c r="E16" s="123"/>
      <c r="F16" s="123"/>
    </row>
    <row r="17" spans="1:6" s="199" customFormat="1" ht="12" customHeight="1" x14ac:dyDescent="0.2">
      <c r="A17" s="12" t="s">
        <v>105</v>
      </c>
      <c r="B17" s="201" t="s">
        <v>192</v>
      </c>
      <c r="C17" s="921">
        <f t="shared" si="0"/>
        <v>172664472</v>
      </c>
      <c r="D17" s="265">
        <f>24250000+5670000+67037993+2885193+2125000+699075+2984246+3262350+1398150-99139+66123322+17088300+3997695+106479-24135437-29680-699075</f>
        <v>172664472</v>
      </c>
      <c r="E17" s="267"/>
      <c r="F17" s="126"/>
    </row>
    <row r="18" spans="1:6" s="199" customFormat="1" ht="12" customHeight="1" thickBot="1" x14ac:dyDescent="0.25">
      <c r="A18" s="14" t="s">
        <v>114</v>
      </c>
      <c r="B18" s="119" t="s">
        <v>193</v>
      </c>
      <c r="C18" s="1112">
        <f t="shared" si="0"/>
        <v>155852215</v>
      </c>
      <c r="D18" s="112">
        <f>67037993+2125000+699075+3262350+1398150+66123322+15905400-699075</f>
        <v>155852215</v>
      </c>
      <c r="E18" s="189"/>
      <c r="F18" s="189"/>
    </row>
    <row r="19" spans="1:6" s="199" customFormat="1" ht="12" customHeight="1" thickBot="1" x14ac:dyDescent="0.25">
      <c r="A19" s="18" t="s">
        <v>21</v>
      </c>
      <c r="B19" s="19" t="s">
        <v>194</v>
      </c>
      <c r="C19" s="122">
        <f t="shared" si="0"/>
        <v>1063944950</v>
      </c>
      <c r="D19" s="281">
        <f>+D20+D21+D22+D23+D24</f>
        <v>1063944950</v>
      </c>
      <c r="E19" s="122">
        <f>+E20+E21+E22+E23+E24</f>
        <v>0</v>
      </c>
      <c r="F19" s="122">
        <f>+F20+F21+F22+F23+F24</f>
        <v>0</v>
      </c>
    </row>
    <row r="20" spans="1:6" s="199" customFormat="1" ht="12" customHeight="1" x14ac:dyDescent="0.2">
      <c r="A20" s="13" t="s">
        <v>84</v>
      </c>
      <c r="B20" s="200" t="s">
        <v>195</v>
      </c>
      <c r="C20" s="925">
        <f t="shared" si="0"/>
        <v>370138900</v>
      </c>
      <c r="D20" s="285">
        <f>369999900+139000</f>
        <v>370138900</v>
      </c>
      <c r="E20" s="264"/>
      <c r="F20" s="549"/>
    </row>
    <row r="21" spans="1:6" s="199" customFormat="1" ht="12" customHeight="1" x14ac:dyDescent="0.2">
      <c r="A21" s="12" t="s">
        <v>85</v>
      </c>
      <c r="B21" s="201" t="s">
        <v>196</v>
      </c>
      <c r="C21" s="751">
        <f t="shared" si="0"/>
        <v>0</v>
      </c>
      <c r="D21" s="265"/>
      <c r="E21" s="126"/>
      <c r="F21" s="126"/>
    </row>
    <row r="22" spans="1:6" s="199" customFormat="1" ht="12" customHeight="1" x14ac:dyDescent="0.2">
      <c r="A22" s="12" t="s">
        <v>86</v>
      </c>
      <c r="B22" s="201" t="s">
        <v>361</v>
      </c>
      <c r="C22" s="751">
        <f t="shared" si="0"/>
        <v>0</v>
      </c>
      <c r="D22" s="265"/>
      <c r="E22" s="126"/>
      <c r="F22" s="126"/>
    </row>
    <row r="23" spans="1:6" s="199" customFormat="1" ht="12" customHeight="1" x14ac:dyDescent="0.2">
      <c r="A23" s="12" t="s">
        <v>87</v>
      </c>
      <c r="B23" s="201" t="s">
        <v>362</v>
      </c>
      <c r="C23" s="751">
        <f t="shared" si="0"/>
        <v>0</v>
      </c>
      <c r="D23" s="265"/>
      <c r="E23" s="126"/>
      <c r="F23" s="126"/>
    </row>
    <row r="24" spans="1:6" s="199" customFormat="1" ht="12" customHeight="1" x14ac:dyDescent="0.2">
      <c r="A24" s="12" t="s">
        <v>132</v>
      </c>
      <c r="B24" s="201" t="s">
        <v>197</v>
      </c>
      <c r="C24" s="924">
        <f t="shared" si="0"/>
        <v>693806050</v>
      </c>
      <c r="D24" s="265">
        <f>5596040+25377271+3487179+47949076+82875000+370160338+158361146</f>
        <v>693806050</v>
      </c>
      <c r="E24" s="126"/>
      <c r="F24" s="126"/>
    </row>
    <row r="25" spans="1:6" s="199" customFormat="1" ht="12" customHeight="1" thickBot="1" x14ac:dyDescent="0.25">
      <c r="A25" s="14" t="s">
        <v>133</v>
      </c>
      <c r="B25" s="202" t="s">
        <v>198</v>
      </c>
      <c r="C25" s="760">
        <f t="shared" si="0"/>
        <v>693114150</v>
      </c>
      <c r="D25" s="269">
        <f>30973311+3487179+47949076+82875000+370160338+157669246</f>
        <v>693114150</v>
      </c>
      <c r="E25" s="189"/>
      <c r="F25" s="189"/>
    </row>
    <row r="26" spans="1:6" s="199" customFormat="1" ht="12" customHeight="1" thickBot="1" x14ac:dyDescent="0.25">
      <c r="A26" s="18" t="s">
        <v>134</v>
      </c>
      <c r="B26" s="19" t="s">
        <v>620</v>
      </c>
      <c r="C26" s="122">
        <f t="shared" si="0"/>
        <v>482500000</v>
      </c>
      <c r="D26" s="284">
        <f>+D27+D31+D32+D33</f>
        <v>482500000</v>
      </c>
      <c r="E26" s="127">
        <f>+E27+E31+E32+E33</f>
        <v>0</v>
      </c>
      <c r="F26" s="127">
        <f>+F27+F31+F32+F33</f>
        <v>0</v>
      </c>
    </row>
    <row r="27" spans="1:6" s="199" customFormat="1" ht="12" customHeight="1" x14ac:dyDescent="0.2">
      <c r="A27" s="13" t="s">
        <v>200</v>
      </c>
      <c r="B27" s="200" t="s">
        <v>602</v>
      </c>
      <c r="C27" s="195">
        <f t="shared" si="0"/>
        <v>430000000</v>
      </c>
      <c r="D27" s="299">
        <f>SUM(D28:D29)</f>
        <v>430000000</v>
      </c>
      <c r="E27" s="299">
        <f t="shared" ref="E27:F27" si="1">SUM(E28:E29)</f>
        <v>0</v>
      </c>
      <c r="F27" s="299">
        <f t="shared" si="1"/>
        <v>0</v>
      </c>
    </row>
    <row r="28" spans="1:6" s="199" customFormat="1" ht="12" customHeight="1" x14ac:dyDescent="0.2">
      <c r="A28" s="12" t="s">
        <v>201</v>
      </c>
      <c r="B28" s="201" t="s">
        <v>206</v>
      </c>
      <c r="C28" s="305">
        <f t="shared" si="0"/>
        <v>89000000</v>
      </c>
      <c r="D28" s="111">
        <f>80000000+9000000</f>
        <v>89000000</v>
      </c>
      <c r="E28" s="123"/>
      <c r="F28" s="123"/>
    </row>
    <row r="29" spans="1:6" s="199" customFormat="1" ht="12" customHeight="1" x14ac:dyDescent="0.2">
      <c r="A29" s="12" t="s">
        <v>202</v>
      </c>
      <c r="B29" s="248" t="s">
        <v>601</v>
      </c>
      <c r="C29" s="305">
        <f t="shared" si="0"/>
        <v>341000000</v>
      </c>
      <c r="D29" s="111">
        <f>341000000</f>
        <v>341000000</v>
      </c>
      <c r="E29" s="123"/>
      <c r="F29" s="123"/>
    </row>
    <row r="30" spans="1:6" s="199" customFormat="1" ht="12" customHeight="1" x14ac:dyDescent="0.2">
      <c r="A30" s="12" t="s">
        <v>203</v>
      </c>
      <c r="B30" s="201" t="s">
        <v>534</v>
      </c>
      <c r="C30" s="305">
        <f t="shared" si="0"/>
        <v>0</v>
      </c>
      <c r="D30" s="265"/>
      <c r="E30" s="126"/>
      <c r="F30" s="126"/>
    </row>
    <row r="31" spans="1:6" s="199" customFormat="1" ht="12" customHeight="1" x14ac:dyDescent="0.2">
      <c r="A31" s="12" t="s">
        <v>535</v>
      </c>
      <c r="B31" s="201" t="s">
        <v>207</v>
      </c>
      <c r="C31" s="305">
        <f t="shared" si="0"/>
        <v>35000000</v>
      </c>
      <c r="D31" s="111">
        <f>35000000</f>
        <v>35000000</v>
      </c>
      <c r="E31" s="123"/>
      <c r="F31" s="123"/>
    </row>
    <row r="32" spans="1:6" s="199" customFormat="1" ht="12" customHeight="1" x14ac:dyDescent="0.2">
      <c r="A32" s="12" t="s">
        <v>205</v>
      </c>
      <c r="B32" s="201" t="s">
        <v>208</v>
      </c>
      <c r="C32" s="305">
        <f t="shared" si="0"/>
        <v>1000000</v>
      </c>
      <c r="D32" s="111">
        <f>1000000</f>
        <v>1000000</v>
      </c>
      <c r="E32" s="123"/>
      <c r="F32" s="123"/>
    </row>
    <row r="33" spans="1:6" s="199" customFormat="1" ht="12" customHeight="1" thickBot="1" x14ac:dyDescent="0.25">
      <c r="A33" s="14" t="s">
        <v>536</v>
      </c>
      <c r="B33" s="202" t="s">
        <v>209</v>
      </c>
      <c r="C33" s="309">
        <f t="shared" si="0"/>
        <v>16500000</v>
      </c>
      <c r="D33" s="269">
        <f>6000000+4500000+2500000+3500000</f>
        <v>16500000</v>
      </c>
      <c r="E33" s="189"/>
      <c r="F33" s="189"/>
    </row>
    <row r="34" spans="1:6" s="199" customFormat="1" ht="12" customHeight="1" thickBot="1" x14ac:dyDescent="0.25">
      <c r="A34" s="18" t="s">
        <v>23</v>
      </c>
      <c r="B34" s="19" t="s">
        <v>448</v>
      </c>
      <c r="C34" s="122">
        <f t="shared" si="0"/>
        <v>162001262</v>
      </c>
      <c r="D34" s="281">
        <f>SUM(D35:D45)</f>
        <v>68804800</v>
      </c>
      <c r="E34" s="122">
        <f>SUM(E35:E45)</f>
        <v>2049828</v>
      </c>
      <c r="F34" s="122">
        <f>SUM(F35:F45)</f>
        <v>91146634</v>
      </c>
    </row>
    <row r="35" spans="1:6" s="199" customFormat="1" ht="12" customHeight="1" x14ac:dyDescent="0.2">
      <c r="A35" s="13" t="s">
        <v>88</v>
      </c>
      <c r="B35" s="200" t="s">
        <v>212</v>
      </c>
      <c r="C35" s="195">
        <f t="shared" si="0"/>
        <v>7415026</v>
      </c>
      <c r="D35" s="285">
        <f>7385026+10000</f>
        <v>7395026</v>
      </c>
      <c r="E35" s="238"/>
      <c r="F35" s="238">
        <v>20000</v>
      </c>
    </row>
    <row r="36" spans="1:6" s="199" customFormat="1" ht="12" customHeight="1" x14ac:dyDescent="0.2">
      <c r="A36" s="12" t="s">
        <v>89</v>
      </c>
      <c r="B36" s="201" t="s">
        <v>213</v>
      </c>
      <c r="C36" s="924">
        <f t="shared" si="0"/>
        <v>67225419</v>
      </c>
      <c r="D36" s="265">
        <f>15901900+1334000-16879</f>
        <v>17219021</v>
      </c>
      <c r="E36" s="126">
        <f>1241400+372638</f>
        <v>1614038</v>
      </c>
      <c r="F36" s="238">
        <f>32107480+8650000+600000+7034880</f>
        <v>48392360</v>
      </c>
    </row>
    <row r="37" spans="1:6" s="199" customFormat="1" ht="12" customHeight="1" x14ac:dyDescent="0.2">
      <c r="A37" s="12" t="s">
        <v>90</v>
      </c>
      <c r="B37" s="201" t="s">
        <v>214</v>
      </c>
      <c r="C37" s="924">
        <f t="shared" ref="C37:C68" si="2">SUM(D37:F37)</f>
        <v>15955683</v>
      </c>
      <c r="D37" s="265">
        <f>20000+6000000+700000+1000000+1109692+340000+6350-1350+105219+762000+77772</f>
        <v>10119683</v>
      </c>
      <c r="E37" s="126"/>
      <c r="F37" s="238">
        <f>1586000+50000+4200000</f>
        <v>5836000</v>
      </c>
    </row>
    <row r="38" spans="1:6" s="199" customFormat="1" ht="12" customHeight="1" x14ac:dyDescent="0.2">
      <c r="A38" s="12" t="s">
        <v>136</v>
      </c>
      <c r="B38" s="201" t="s">
        <v>215</v>
      </c>
      <c r="C38" s="924">
        <f t="shared" si="2"/>
        <v>740000</v>
      </c>
      <c r="D38" s="265">
        <f>440000+300000+144667-144667</f>
        <v>740000</v>
      </c>
      <c r="E38" s="126"/>
      <c r="F38" s="238"/>
    </row>
    <row r="39" spans="1:6" s="199" customFormat="1" ht="12" customHeight="1" x14ac:dyDescent="0.2">
      <c r="A39" s="12" t="s">
        <v>137</v>
      </c>
      <c r="B39" s="201" t="s">
        <v>216</v>
      </c>
      <c r="C39" s="921">
        <f t="shared" si="2"/>
        <v>17531721</v>
      </c>
      <c r="D39" s="265">
        <v>-1575000</v>
      </c>
      <c r="E39" s="126"/>
      <c r="F39" s="238">
        <f>17535396+708995+862330</f>
        <v>19106721</v>
      </c>
    </row>
    <row r="40" spans="1:6" s="199" customFormat="1" ht="12" customHeight="1" x14ac:dyDescent="0.2">
      <c r="A40" s="12" t="s">
        <v>138</v>
      </c>
      <c r="B40" s="201" t="s">
        <v>217</v>
      </c>
      <c r="C40" s="921">
        <f t="shared" si="2"/>
        <v>23904273</v>
      </c>
      <c r="D40" s="265">
        <f>5400+1993957+12052638+189000+333450+1350+14693-4556+20998-496000</f>
        <v>14110930</v>
      </c>
      <c r="E40" s="126">
        <f>335178+100612</f>
        <v>435790</v>
      </c>
      <c r="F40" s="238">
        <f>4914377+191429+823500+1528829+1899418</f>
        <v>9357553</v>
      </c>
    </row>
    <row r="41" spans="1:6" s="199" customFormat="1" ht="12" customHeight="1" x14ac:dyDescent="0.2">
      <c r="A41" s="12" t="s">
        <v>139</v>
      </c>
      <c r="B41" s="201" t="s">
        <v>218</v>
      </c>
      <c r="C41" s="308">
        <f t="shared" si="2"/>
        <v>8433000</v>
      </c>
      <c r="D41" s="265"/>
      <c r="E41" s="126"/>
      <c r="F41" s="238">
        <f>7614000+650000+169000</f>
        <v>8433000</v>
      </c>
    </row>
    <row r="42" spans="1:6" s="199" customFormat="1" ht="12" customHeight="1" x14ac:dyDescent="0.2">
      <c r="A42" s="12" t="s">
        <v>140</v>
      </c>
      <c r="B42" s="201" t="s">
        <v>543</v>
      </c>
      <c r="C42" s="308">
        <f t="shared" si="2"/>
        <v>0</v>
      </c>
      <c r="D42" s="265"/>
      <c r="E42" s="126"/>
      <c r="F42" s="238"/>
    </row>
    <row r="43" spans="1:6" s="199" customFormat="1" ht="12" customHeight="1" x14ac:dyDescent="0.2">
      <c r="A43" s="12" t="s">
        <v>210</v>
      </c>
      <c r="B43" s="201" t="s">
        <v>220</v>
      </c>
      <c r="C43" s="308">
        <f t="shared" si="2"/>
        <v>0</v>
      </c>
      <c r="D43" s="265"/>
      <c r="E43" s="126"/>
      <c r="F43" s="238"/>
    </row>
    <row r="44" spans="1:6" s="199" customFormat="1" ht="12" customHeight="1" x14ac:dyDescent="0.2">
      <c r="A44" s="14" t="s">
        <v>211</v>
      </c>
      <c r="B44" s="202" t="s">
        <v>449</v>
      </c>
      <c r="C44" s="308">
        <f t="shared" si="2"/>
        <v>500000</v>
      </c>
      <c r="D44" s="269">
        <f>500000</f>
        <v>500000</v>
      </c>
      <c r="E44" s="189"/>
      <c r="F44" s="238"/>
    </row>
    <row r="45" spans="1:6" s="199" customFormat="1" ht="12" customHeight="1" thickBot="1" x14ac:dyDescent="0.25">
      <c r="A45" s="14" t="s">
        <v>450</v>
      </c>
      <c r="B45" s="119" t="s">
        <v>221</v>
      </c>
      <c r="C45" s="1112">
        <f t="shared" si="2"/>
        <v>20296140</v>
      </c>
      <c r="D45" s="269">
        <f>507601+700000+2935064+146990+16176+15241855+647454+100000</f>
        <v>20295140</v>
      </c>
      <c r="E45" s="189"/>
      <c r="F45" s="238">
        <v>1000</v>
      </c>
    </row>
    <row r="46" spans="1:6" s="199" customFormat="1" ht="12" customHeight="1" thickBot="1" x14ac:dyDescent="0.25">
      <c r="A46" s="18" t="s">
        <v>24</v>
      </c>
      <c r="B46" s="19" t="s">
        <v>222</v>
      </c>
      <c r="C46" s="122">
        <f t="shared" si="2"/>
        <v>21932600</v>
      </c>
      <c r="D46" s="281">
        <f>SUM(D47:D51)</f>
        <v>21932600</v>
      </c>
      <c r="E46" s="122">
        <f>SUM(E47:E51)</f>
        <v>0</v>
      </c>
      <c r="F46" s="122">
        <f>SUM(F47:F51)</f>
        <v>0</v>
      </c>
    </row>
    <row r="47" spans="1:6" s="199" customFormat="1" ht="12" customHeight="1" x14ac:dyDescent="0.2">
      <c r="A47" s="13" t="s">
        <v>91</v>
      </c>
      <c r="B47" s="200" t="s">
        <v>226</v>
      </c>
      <c r="C47" s="195">
        <f t="shared" si="2"/>
        <v>0</v>
      </c>
      <c r="D47" s="285"/>
      <c r="E47" s="238"/>
      <c r="F47" s="238"/>
    </row>
    <row r="48" spans="1:6" s="199" customFormat="1" ht="12" customHeight="1" x14ac:dyDescent="0.2">
      <c r="A48" s="12" t="s">
        <v>92</v>
      </c>
      <c r="B48" s="201" t="s">
        <v>227</v>
      </c>
      <c r="C48" s="308">
        <f t="shared" si="2"/>
        <v>21787500</v>
      </c>
      <c r="D48" s="265">
        <f>21787500</f>
        <v>21787500</v>
      </c>
      <c r="E48" s="126"/>
      <c r="F48" s="126"/>
    </row>
    <row r="49" spans="1:6" s="199" customFormat="1" ht="12" customHeight="1" x14ac:dyDescent="0.2">
      <c r="A49" s="12" t="s">
        <v>223</v>
      </c>
      <c r="B49" s="201" t="s">
        <v>228</v>
      </c>
      <c r="C49" s="308">
        <f t="shared" si="2"/>
        <v>0</v>
      </c>
      <c r="D49" s="265"/>
      <c r="E49" s="126"/>
      <c r="F49" s="126"/>
    </row>
    <row r="50" spans="1:6" s="199" customFormat="1" ht="12" customHeight="1" x14ac:dyDescent="0.2">
      <c r="A50" s="12" t="s">
        <v>224</v>
      </c>
      <c r="B50" s="201" t="s">
        <v>229</v>
      </c>
      <c r="C50" s="308">
        <f t="shared" si="2"/>
        <v>0</v>
      </c>
      <c r="D50" s="265"/>
      <c r="E50" s="126"/>
      <c r="F50" s="126"/>
    </row>
    <row r="51" spans="1:6" s="199" customFormat="1" ht="12" customHeight="1" thickBot="1" x14ac:dyDescent="0.25">
      <c r="A51" s="14" t="s">
        <v>225</v>
      </c>
      <c r="B51" s="119" t="s">
        <v>230</v>
      </c>
      <c r="C51" s="760">
        <f t="shared" si="2"/>
        <v>145100</v>
      </c>
      <c r="D51" s="269">
        <f>145100</f>
        <v>145100</v>
      </c>
      <c r="E51" s="189"/>
      <c r="F51" s="189"/>
    </row>
    <row r="52" spans="1:6" s="199" customFormat="1" ht="12" customHeight="1" thickBot="1" x14ac:dyDescent="0.25">
      <c r="A52" s="18" t="s">
        <v>141</v>
      </c>
      <c r="B52" s="19" t="s">
        <v>231</v>
      </c>
      <c r="C52" s="122">
        <f t="shared" si="2"/>
        <v>1560000</v>
      </c>
      <c r="D52" s="281">
        <f>SUM(D53:D55)</f>
        <v>1560000</v>
      </c>
      <c r="E52" s="122">
        <f>SUM(E53:E55)</f>
        <v>0</v>
      </c>
      <c r="F52" s="122">
        <f>SUM(F53:F55)</f>
        <v>0</v>
      </c>
    </row>
    <row r="53" spans="1:6" s="199" customFormat="1" ht="12" customHeight="1" x14ac:dyDescent="0.2">
      <c r="A53" s="13" t="s">
        <v>93</v>
      </c>
      <c r="B53" s="200" t="s">
        <v>232</v>
      </c>
      <c r="C53" s="195">
        <f t="shared" si="2"/>
        <v>0</v>
      </c>
      <c r="D53" s="283"/>
      <c r="E53" s="124"/>
      <c r="F53" s="124"/>
    </row>
    <row r="54" spans="1:6" s="199" customFormat="1" ht="12" customHeight="1" x14ac:dyDescent="0.2">
      <c r="A54" s="12" t="s">
        <v>94</v>
      </c>
      <c r="B54" s="201" t="s">
        <v>363</v>
      </c>
      <c r="C54" s="305">
        <f t="shared" si="2"/>
        <v>400000</v>
      </c>
      <c r="D54" s="265">
        <f>400000</f>
        <v>400000</v>
      </c>
      <c r="E54" s="126"/>
      <c r="F54" s="126"/>
    </row>
    <row r="55" spans="1:6" s="199" customFormat="1" ht="12" customHeight="1" x14ac:dyDescent="0.2">
      <c r="A55" s="12" t="s">
        <v>235</v>
      </c>
      <c r="B55" s="201" t="s">
        <v>233</v>
      </c>
      <c r="C55" s="924">
        <f t="shared" si="2"/>
        <v>1160000</v>
      </c>
      <c r="D55" s="265">
        <f>950000+130000+80000</f>
        <v>1160000</v>
      </c>
      <c r="E55" s="126"/>
      <c r="F55" s="126"/>
    </row>
    <row r="56" spans="1:6" s="199" customFormat="1" ht="12" customHeight="1" thickBot="1" x14ac:dyDescent="0.25">
      <c r="A56" s="14" t="s">
        <v>236</v>
      </c>
      <c r="B56" s="119" t="s">
        <v>234</v>
      </c>
      <c r="C56" s="309">
        <f t="shared" si="2"/>
        <v>0</v>
      </c>
      <c r="D56" s="112"/>
      <c r="E56" s="125"/>
      <c r="F56" s="125"/>
    </row>
    <row r="57" spans="1:6" s="199" customFormat="1" ht="12" customHeight="1" thickBot="1" x14ac:dyDescent="0.25">
      <c r="A57" s="18" t="s">
        <v>26</v>
      </c>
      <c r="B57" s="117" t="s">
        <v>237</v>
      </c>
      <c r="C57" s="310">
        <f t="shared" si="2"/>
        <v>0</v>
      </c>
      <c r="D57" s="281">
        <f>SUM(D58:D60)</f>
        <v>0</v>
      </c>
      <c r="E57" s="122">
        <f>SUM(E58:E60)</f>
        <v>0</v>
      </c>
      <c r="F57" s="122">
        <f>SUM(F58:F60)</f>
        <v>0</v>
      </c>
    </row>
    <row r="58" spans="1:6" s="199" customFormat="1" ht="12" customHeight="1" x14ac:dyDescent="0.2">
      <c r="A58" s="13" t="s">
        <v>142</v>
      </c>
      <c r="B58" s="200" t="s">
        <v>239</v>
      </c>
      <c r="C58" s="195">
        <f t="shared" si="2"/>
        <v>0</v>
      </c>
      <c r="D58" s="265"/>
      <c r="E58" s="126"/>
      <c r="F58" s="126"/>
    </row>
    <row r="59" spans="1:6" s="199" customFormat="1" ht="12" customHeight="1" x14ac:dyDescent="0.2">
      <c r="A59" s="12" t="s">
        <v>143</v>
      </c>
      <c r="B59" s="201" t="s">
        <v>364</v>
      </c>
      <c r="C59" s="308">
        <f t="shared" si="2"/>
        <v>0</v>
      </c>
      <c r="D59" s="265"/>
      <c r="E59" s="126"/>
      <c r="F59" s="126"/>
    </row>
    <row r="60" spans="1:6" s="199" customFormat="1" ht="12" customHeight="1" x14ac:dyDescent="0.2">
      <c r="A60" s="12" t="s">
        <v>164</v>
      </c>
      <c r="B60" s="201" t="s">
        <v>240</v>
      </c>
      <c r="C60" s="308">
        <f t="shared" si="2"/>
        <v>0</v>
      </c>
      <c r="D60" s="265"/>
      <c r="E60" s="126"/>
      <c r="F60" s="126"/>
    </row>
    <row r="61" spans="1:6" s="199" customFormat="1" ht="12" customHeight="1" thickBot="1" x14ac:dyDescent="0.25">
      <c r="A61" s="14" t="s">
        <v>238</v>
      </c>
      <c r="B61" s="119" t="s">
        <v>241</v>
      </c>
      <c r="C61" s="309">
        <f t="shared" si="2"/>
        <v>0</v>
      </c>
      <c r="D61" s="265"/>
      <c r="E61" s="126"/>
      <c r="F61" s="126"/>
    </row>
    <row r="62" spans="1:6" s="199" customFormat="1" ht="12" customHeight="1" thickBot="1" x14ac:dyDescent="0.25">
      <c r="A62" s="249" t="s">
        <v>451</v>
      </c>
      <c r="B62" s="19" t="s">
        <v>242</v>
      </c>
      <c r="C62" s="122">
        <f t="shared" si="2"/>
        <v>2962726831</v>
      </c>
      <c r="D62" s="284">
        <f>+D5+D12+D19+D26+D34+D46+D52+D57</f>
        <v>2869530369</v>
      </c>
      <c r="E62" s="127">
        <f>+E5+E12+E19+E26+E34+E46+E52+E57</f>
        <v>2049828</v>
      </c>
      <c r="F62" s="127">
        <f>+F5+F12+F19+F26+F34+F46+F52+F57</f>
        <v>91146634</v>
      </c>
    </row>
    <row r="63" spans="1:6" s="199" customFormat="1" ht="12" customHeight="1" thickBot="1" x14ac:dyDescent="0.25">
      <c r="A63" s="250" t="s">
        <v>243</v>
      </c>
      <c r="B63" s="117" t="s">
        <v>244</v>
      </c>
      <c r="C63" s="310">
        <f t="shared" si="2"/>
        <v>169269106</v>
      </c>
      <c r="D63" s="281">
        <f>SUM(D64:D66)</f>
        <v>169269106</v>
      </c>
      <c r="E63" s="122">
        <f>SUM(E64:E66)</f>
        <v>0</v>
      </c>
      <c r="F63" s="122">
        <f>SUM(F64:F66)</f>
        <v>0</v>
      </c>
    </row>
    <row r="64" spans="1:6" s="199" customFormat="1" ht="12" customHeight="1" x14ac:dyDescent="0.2">
      <c r="A64" s="13" t="s">
        <v>275</v>
      </c>
      <c r="B64" s="200" t="s">
        <v>245</v>
      </c>
      <c r="C64" s="195">
        <f t="shared" si="2"/>
        <v>69269106</v>
      </c>
      <c r="D64" s="265">
        <f>69269106</f>
        <v>69269106</v>
      </c>
      <c r="E64" s="126"/>
      <c r="F64" s="126"/>
    </row>
    <row r="65" spans="1:6" s="199" customFormat="1" ht="12" customHeight="1" x14ac:dyDescent="0.2">
      <c r="A65" s="12" t="s">
        <v>284</v>
      </c>
      <c r="B65" s="201" t="s">
        <v>246</v>
      </c>
      <c r="C65" s="308">
        <f t="shared" si="2"/>
        <v>100000000</v>
      </c>
      <c r="D65" s="265">
        <v>100000000</v>
      </c>
      <c r="E65" s="126"/>
      <c r="F65" s="126"/>
    </row>
    <row r="66" spans="1:6" s="199" customFormat="1" ht="12" customHeight="1" thickBot="1" x14ac:dyDescent="0.25">
      <c r="A66" s="14" t="s">
        <v>285</v>
      </c>
      <c r="B66" s="251" t="s">
        <v>452</v>
      </c>
      <c r="C66" s="309">
        <f t="shared" si="2"/>
        <v>0</v>
      </c>
      <c r="D66" s="265"/>
      <c r="E66" s="126"/>
      <c r="F66" s="126"/>
    </row>
    <row r="67" spans="1:6" s="199" customFormat="1" ht="12" customHeight="1" thickBot="1" x14ac:dyDescent="0.25">
      <c r="A67" s="250" t="s">
        <v>248</v>
      </c>
      <c r="B67" s="117" t="s">
        <v>249</v>
      </c>
      <c r="C67" s="310">
        <f t="shared" si="2"/>
        <v>0</v>
      </c>
      <c r="D67" s="281">
        <f>SUM(D68:D71)</f>
        <v>0</v>
      </c>
      <c r="E67" s="122">
        <f>SUM(E68:E71)</f>
        <v>0</v>
      </c>
      <c r="F67" s="122">
        <f>SUM(F68:F71)</f>
        <v>0</v>
      </c>
    </row>
    <row r="68" spans="1:6" s="199" customFormat="1" ht="12" customHeight="1" x14ac:dyDescent="0.2">
      <c r="A68" s="13" t="s">
        <v>122</v>
      </c>
      <c r="B68" s="200" t="s">
        <v>250</v>
      </c>
      <c r="C68" s="195">
        <f t="shared" si="2"/>
        <v>0</v>
      </c>
      <c r="D68" s="265"/>
      <c r="E68" s="126"/>
      <c r="F68" s="126"/>
    </row>
    <row r="69" spans="1:6" s="199" customFormat="1" ht="12" customHeight="1" x14ac:dyDescent="0.2">
      <c r="A69" s="12" t="s">
        <v>123</v>
      </c>
      <c r="B69" s="201" t="s">
        <v>251</v>
      </c>
      <c r="C69" s="308">
        <f t="shared" ref="C69:C87" si="3">SUM(D69:F69)</f>
        <v>0</v>
      </c>
      <c r="D69" s="265"/>
      <c r="E69" s="126"/>
      <c r="F69" s="126"/>
    </row>
    <row r="70" spans="1:6" s="199" customFormat="1" ht="12" customHeight="1" x14ac:dyDescent="0.2">
      <c r="A70" s="12" t="s">
        <v>276</v>
      </c>
      <c r="B70" s="201" t="s">
        <v>252</v>
      </c>
      <c r="C70" s="308">
        <f t="shared" si="3"/>
        <v>0</v>
      </c>
      <c r="D70" s="265"/>
      <c r="E70" s="126"/>
      <c r="F70" s="126"/>
    </row>
    <row r="71" spans="1:6" s="199" customFormat="1" ht="12" customHeight="1" thickBot="1" x14ac:dyDescent="0.25">
      <c r="A71" s="14" t="s">
        <v>277</v>
      </c>
      <c r="B71" s="119" t="s">
        <v>253</v>
      </c>
      <c r="C71" s="309">
        <f t="shared" si="3"/>
        <v>0</v>
      </c>
      <c r="D71" s="265"/>
      <c r="E71" s="126"/>
      <c r="F71" s="126"/>
    </row>
    <row r="72" spans="1:6" s="199" customFormat="1" ht="12" customHeight="1" thickBot="1" x14ac:dyDescent="0.25">
      <c r="A72" s="250" t="s">
        <v>254</v>
      </c>
      <c r="B72" s="117" t="s">
        <v>255</v>
      </c>
      <c r="C72" s="122">
        <f t="shared" si="3"/>
        <v>357821285</v>
      </c>
      <c r="D72" s="281">
        <f>SUM(D73:D74)</f>
        <v>349091822</v>
      </c>
      <c r="E72" s="122">
        <f>SUM(E73:E74)</f>
        <v>921746</v>
      </c>
      <c r="F72" s="122">
        <f>SUM(F73:F74)</f>
        <v>7807717</v>
      </c>
    </row>
    <row r="73" spans="1:6" s="199" customFormat="1" ht="12" customHeight="1" x14ac:dyDescent="0.2">
      <c r="A73" s="13" t="s">
        <v>278</v>
      </c>
      <c r="B73" s="200" t="s">
        <v>256</v>
      </c>
      <c r="C73" s="304">
        <f t="shared" si="3"/>
        <v>357821285</v>
      </c>
      <c r="D73" s="265">
        <f>346583469+2508353</f>
        <v>349091822</v>
      </c>
      <c r="E73" s="126">
        <f>829764+91982</f>
        <v>921746</v>
      </c>
      <c r="F73" s="126">
        <f>1550858+372804+435258+1054835+4393962</f>
        <v>7807717</v>
      </c>
    </row>
    <row r="74" spans="1:6" s="199" customFormat="1" ht="12" customHeight="1" thickBot="1" x14ac:dyDescent="0.25">
      <c r="A74" s="14" t="s">
        <v>279</v>
      </c>
      <c r="B74" s="119" t="s">
        <v>257</v>
      </c>
      <c r="C74" s="309">
        <f t="shared" si="3"/>
        <v>0</v>
      </c>
      <c r="D74" s="265"/>
      <c r="E74" s="126"/>
      <c r="F74" s="126"/>
    </row>
    <row r="75" spans="1:6" s="199" customFormat="1" ht="12" customHeight="1" thickBot="1" x14ac:dyDescent="0.25">
      <c r="A75" s="250" t="s">
        <v>258</v>
      </c>
      <c r="B75" s="117" t="s">
        <v>259</v>
      </c>
      <c r="C75" s="310">
        <f t="shared" si="3"/>
        <v>45672254</v>
      </c>
      <c r="D75" s="281">
        <f>SUM(D76:D78)</f>
        <v>45672254</v>
      </c>
      <c r="E75" s="122">
        <f>SUM(E76:E78)</f>
        <v>0</v>
      </c>
      <c r="F75" s="122">
        <f>SUM(F76:F78)</f>
        <v>0</v>
      </c>
    </row>
    <row r="76" spans="1:6" s="199" customFormat="1" ht="12" customHeight="1" x14ac:dyDescent="0.2">
      <c r="A76" s="13" t="s">
        <v>280</v>
      </c>
      <c r="B76" s="200" t="s">
        <v>260</v>
      </c>
      <c r="C76" s="925">
        <f t="shared" si="3"/>
        <v>45672254</v>
      </c>
      <c r="D76" s="265">
        <v>45672254</v>
      </c>
      <c r="E76" s="126"/>
      <c r="F76" s="126"/>
    </row>
    <row r="77" spans="1:6" s="199" customFormat="1" ht="12" customHeight="1" x14ac:dyDescent="0.2">
      <c r="A77" s="12" t="s">
        <v>281</v>
      </c>
      <c r="B77" s="201" t="s">
        <v>261</v>
      </c>
      <c r="C77" s="308">
        <f t="shared" si="3"/>
        <v>0</v>
      </c>
      <c r="D77" s="265"/>
      <c r="E77" s="126"/>
      <c r="F77" s="126"/>
    </row>
    <row r="78" spans="1:6" s="199" customFormat="1" ht="12" customHeight="1" thickBot="1" x14ac:dyDescent="0.25">
      <c r="A78" s="14" t="s">
        <v>282</v>
      </c>
      <c r="B78" s="119" t="s">
        <v>262</v>
      </c>
      <c r="C78" s="309">
        <f t="shared" si="3"/>
        <v>0</v>
      </c>
      <c r="D78" s="265"/>
      <c r="E78" s="126"/>
      <c r="F78" s="126"/>
    </row>
    <row r="79" spans="1:6" s="199" customFormat="1" ht="12" customHeight="1" thickBot="1" x14ac:dyDescent="0.25">
      <c r="A79" s="250" t="s">
        <v>263</v>
      </c>
      <c r="B79" s="117" t="s">
        <v>283</v>
      </c>
      <c r="C79" s="310">
        <f t="shared" si="3"/>
        <v>0</v>
      </c>
      <c r="D79" s="281">
        <f>SUM(D80:D83)</f>
        <v>0</v>
      </c>
      <c r="E79" s="122">
        <f>SUM(E80:E83)</f>
        <v>0</v>
      </c>
      <c r="F79" s="122">
        <f>SUM(F80:F83)</f>
        <v>0</v>
      </c>
    </row>
    <row r="80" spans="1:6" s="199" customFormat="1" ht="12" customHeight="1" x14ac:dyDescent="0.2">
      <c r="A80" s="204" t="s">
        <v>264</v>
      </c>
      <c r="B80" s="200" t="s">
        <v>265</v>
      </c>
      <c r="C80" s="195">
        <f t="shared" si="3"/>
        <v>0</v>
      </c>
      <c r="D80" s="265"/>
      <c r="E80" s="126"/>
      <c r="F80" s="126"/>
    </row>
    <row r="81" spans="1:6" s="199" customFormat="1" ht="12" customHeight="1" x14ac:dyDescent="0.2">
      <c r="A81" s="205" t="s">
        <v>266</v>
      </c>
      <c r="B81" s="201" t="s">
        <v>267</v>
      </c>
      <c r="C81" s="308">
        <f t="shared" si="3"/>
        <v>0</v>
      </c>
      <c r="D81" s="265"/>
      <c r="E81" s="126"/>
      <c r="F81" s="126"/>
    </row>
    <row r="82" spans="1:6" s="199" customFormat="1" ht="12" customHeight="1" x14ac:dyDescent="0.2">
      <c r="A82" s="205" t="s">
        <v>268</v>
      </c>
      <c r="B82" s="201" t="s">
        <v>269</v>
      </c>
      <c r="C82" s="308">
        <f t="shared" si="3"/>
        <v>0</v>
      </c>
      <c r="D82" s="265"/>
      <c r="E82" s="126"/>
      <c r="F82" s="126"/>
    </row>
    <row r="83" spans="1:6" s="199" customFormat="1" ht="12" customHeight="1" thickBot="1" x14ac:dyDescent="0.25">
      <c r="A83" s="206" t="s">
        <v>270</v>
      </c>
      <c r="B83" s="119" t="s">
        <v>271</v>
      </c>
      <c r="C83" s="309">
        <f t="shared" si="3"/>
        <v>0</v>
      </c>
      <c r="D83" s="265"/>
      <c r="E83" s="126"/>
      <c r="F83" s="126"/>
    </row>
    <row r="84" spans="1:6" s="199" customFormat="1" ht="12" customHeight="1" thickBot="1" x14ac:dyDescent="0.25">
      <c r="A84" s="250" t="s">
        <v>272</v>
      </c>
      <c r="B84" s="117" t="s">
        <v>453</v>
      </c>
      <c r="C84" s="381">
        <f t="shared" si="3"/>
        <v>0</v>
      </c>
      <c r="D84" s="286"/>
      <c r="E84" s="239"/>
      <c r="F84" s="239"/>
    </row>
    <row r="85" spans="1:6" s="199" customFormat="1" ht="13.5" customHeight="1" thickBot="1" x14ac:dyDescent="0.25">
      <c r="A85" s="250" t="s">
        <v>274</v>
      </c>
      <c r="B85" s="117" t="s">
        <v>273</v>
      </c>
      <c r="C85" s="310">
        <f t="shared" si="3"/>
        <v>0</v>
      </c>
      <c r="D85" s="286"/>
      <c r="E85" s="239"/>
      <c r="F85" s="239"/>
    </row>
    <row r="86" spans="1:6" s="199" customFormat="1" ht="15.75" customHeight="1" thickBot="1" x14ac:dyDescent="0.25">
      <c r="A86" s="250" t="s">
        <v>286</v>
      </c>
      <c r="B86" s="207" t="s">
        <v>454</v>
      </c>
      <c r="C86" s="122">
        <f t="shared" si="3"/>
        <v>572762645</v>
      </c>
      <c r="D86" s="284">
        <f>+D63+D67+D72+D75+D79+D85+D84</f>
        <v>564033182</v>
      </c>
      <c r="E86" s="127">
        <f>+E63+E67+E72+E75+E79+E85+E84</f>
        <v>921746</v>
      </c>
      <c r="F86" s="127">
        <f>+F63+F67+F72+F75+F79+F85+F84</f>
        <v>7807717</v>
      </c>
    </row>
    <row r="87" spans="1:6" s="199" customFormat="1" ht="16.5" customHeight="1" thickBot="1" x14ac:dyDescent="0.25">
      <c r="A87" s="252" t="s">
        <v>455</v>
      </c>
      <c r="B87" s="208" t="s">
        <v>456</v>
      </c>
      <c r="C87" s="256">
        <f t="shared" si="3"/>
        <v>3535489476</v>
      </c>
      <c r="D87" s="284">
        <f>+D62+D86</f>
        <v>3433563551</v>
      </c>
      <c r="E87" s="127">
        <f>+E62+E86</f>
        <v>2971574</v>
      </c>
      <c r="F87" s="127">
        <f>+F62+F86</f>
        <v>98954351</v>
      </c>
    </row>
    <row r="88" spans="1:6" s="199" customFormat="1" ht="83.25" customHeight="1" x14ac:dyDescent="0.2">
      <c r="A88" s="3"/>
      <c r="B88" s="4"/>
      <c r="C88" s="128"/>
    </row>
    <row r="89" spans="1:6" ht="16.5" customHeight="1" x14ac:dyDescent="0.25">
      <c r="A89" s="1172" t="s">
        <v>47</v>
      </c>
      <c r="B89" s="1172"/>
      <c r="C89" s="1172"/>
      <c r="D89" s="186"/>
      <c r="E89" s="186"/>
      <c r="F89" s="186"/>
    </row>
    <row r="90" spans="1:6" s="209" customFormat="1" ht="16.5" customHeight="1" thickBot="1" x14ac:dyDescent="0.3">
      <c r="A90" s="1173" t="s">
        <v>125</v>
      </c>
      <c r="B90" s="1173"/>
      <c r="C90" s="69" t="s">
        <v>552</v>
      </c>
      <c r="D90" s="551"/>
      <c r="E90" s="551"/>
      <c r="F90" s="551"/>
    </row>
    <row r="91" spans="1:6" ht="38.1" customHeight="1" thickBot="1" x14ac:dyDescent="0.3">
      <c r="A91" s="21" t="s">
        <v>70</v>
      </c>
      <c r="B91" s="22" t="s">
        <v>48</v>
      </c>
      <c r="C91" s="32" t="str">
        <f>+C3</f>
        <v>2019. évi előirányzat</v>
      </c>
      <c r="D91" s="186" t="s">
        <v>558</v>
      </c>
      <c r="E91" s="186" t="s">
        <v>559</v>
      </c>
      <c r="F91" s="186" t="s">
        <v>560</v>
      </c>
    </row>
    <row r="92" spans="1:6" s="198" customFormat="1" ht="12" customHeight="1" thickBot="1" x14ac:dyDescent="0.25">
      <c r="A92" s="28" t="s">
        <v>443</v>
      </c>
      <c r="B92" s="29" t="s">
        <v>444</v>
      </c>
      <c r="C92" s="194" t="s">
        <v>445</v>
      </c>
    </row>
    <row r="93" spans="1:6" ht="12" customHeight="1" thickBot="1" x14ac:dyDescent="0.3">
      <c r="A93" s="20" t="s">
        <v>19</v>
      </c>
      <c r="B93" s="24" t="s">
        <v>494</v>
      </c>
      <c r="C93" s="127">
        <f t="shared" ref="C93:C154" si="4">SUM(D93:F93)</f>
        <v>1697431950</v>
      </c>
      <c r="D93" s="289">
        <f>+D94+D95+D96+D97+D98+D111</f>
        <v>672254640</v>
      </c>
      <c r="E93" s="121">
        <f>+E94+E95+E96+E97+E98+E111</f>
        <v>7107898</v>
      </c>
      <c r="F93" s="295">
        <f>F94+F95+F96+F97+F98+F111</f>
        <v>1018069412</v>
      </c>
    </row>
    <row r="94" spans="1:6" ht="12" customHeight="1" x14ac:dyDescent="0.25">
      <c r="A94" s="15" t="s">
        <v>95</v>
      </c>
      <c r="B94" s="8" t="s">
        <v>49</v>
      </c>
      <c r="C94" s="925">
        <f t="shared" si="4"/>
        <v>567171814</v>
      </c>
      <c r="D94" s="300">
        <f>23173251+1407675+14384916+5742073+2081772+3199848+1778250+505000+720000+77916-1778250+2751255+5006284-1389000-2226342+14144193-38445+2832000-6185955-1056383-513481+360388-10643508</f>
        <v>54333457</v>
      </c>
      <c r="E94" s="273">
        <f>935085+4069918</f>
        <v>5005003</v>
      </c>
      <c r="F94" s="273">
        <f>60512486+64039486+48091292+208655734+125254356+110000+1170000</f>
        <v>507833354</v>
      </c>
    </row>
    <row r="95" spans="1:6" ht="12" customHeight="1" x14ac:dyDescent="0.25">
      <c r="A95" s="12" t="s">
        <v>96</v>
      </c>
      <c r="B95" s="6" t="s">
        <v>144</v>
      </c>
      <c r="C95" s="921">
        <f t="shared" si="4"/>
        <v>113158233</v>
      </c>
      <c r="D95" s="265">
        <f>4364055+2684650+1007723+436333+561576+346750+98475+126360+15194-346750+536495+976228-270858-383720+2597389-4429250+529709-1004229-225961+237706+77595-2114075</f>
        <v>5821395</v>
      </c>
      <c r="E95" s="126">
        <f>133681+815187</f>
        <v>948868</v>
      </c>
      <c r="F95" s="126">
        <f>13261042+12834203+9499320+44850807+25669667+44781+228150</f>
        <v>106387970</v>
      </c>
    </row>
    <row r="96" spans="1:6" ht="12" customHeight="1" x14ac:dyDescent="0.25">
      <c r="A96" s="12" t="s">
        <v>97</v>
      </c>
      <c r="B96" s="6" t="s">
        <v>120</v>
      </c>
      <c r="C96" s="921">
        <f t="shared" si="4"/>
        <v>654245900</v>
      </c>
      <c r="D96" s="269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+843906-140335-44830592-4000000</f>
        <v>249243785</v>
      </c>
      <c r="E96" s="189">
        <f>150000+369027+635000</f>
        <v>1154027</v>
      </c>
      <c r="F96" s="126">
        <f>229985778+15749737+50573182+80125553+20525219+6888619</f>
        <v>403848088</v>
      </c>
    </row>
    <row r="97" spans="1:6" ht="12" customHeight="1" x14ac:dyDescent="0.25">
      <c r="A97" s="12" t="s">
        <v>98</v>
      </c>
      <c r="B97" s="6" t="s">
        <v>145</v>
      </c>
      <c r="C97" s="924">
        <f t="shared" si="4"/>
        <v>51600000</v>
      </c>
      <c r="D97" s="269">
        <f>24250000+48100000+3500000-24250000</f>
        <v>51600000</v>
      </c>
      <c r="E97" s="189"/>
      <c r="F97" s="189"/>
    </row>
    <row r="98" spans="1:6" ht="12" customHeight="1" x14ac:dyDescent="0.25">
      <c r="A98" s="12" t="s">
        <v>109</v>
      </c>
      <c r="B98" s="5" t="s">
        <v>146</v>
      </c>
      <c r="C98" s="924">
        <f t="shared" si="4"/>
        <v>248275261</v>
      </c>
      <c r="D98" s="1005">
        <f>SUM(D99:D110)</f>
        <v>248275261</v>
      </c>
      <c r="E98" s="189"/>
      <c r="F98" s="189"/>
    </row>
    <row r="99" spans="1:6" ht="12" customHeight="1" x14ac:dyDescent="0.25">
      <c r="A99" s="12" t="s">
        <v>99</v>
      </c>
      <c r="B99" s="6" t="s">
        <v>457</v>
      </c>
      <c r="C99" s="305">
        <f t="shared" si="4"/>
        <v>6600000</v>
      </c>
      <c r="D99" s="269">
        <f>100000+6500000</f>
        <v>6600000</v>
      </c>
      <c r="E99" s="189"/>
      <c r="F99" s="189"/>
    </row>
    <row r="100" spans="1:6" ht="12" customHeight="1" x14ac:dyDescent="0.25">
      <c r="A100" s="12" t="s">
        <v>100</v>
      </c>
      <c r="B100" s="73" t="s">
        <v>458</v>
      </c>
      <c r="C100" s="305">
        <f t="shared" si="4"/>
        <v>0</v>
      </c>
      <c r="D100" s="269"/>
      <c r="E100" s="189"/>
      <c r="F100" s="189"/>
    </row>
    <row r="101" spans="1:6" ht="12" customHeight="1" x14ac:dyDescent="0.25">
      <c r="A101" s="12" t="s">
        <v>110</v>
      </c>
      <c r="B101" s="73" t="s">
        <v>459</v>
      </c>
      <c r="C101" s="305">
        <f t="shared" si="4"/>
        <v>0</v>
      </c>
      <c r="D101" s="269"/>
      <c r="E101" s="189"/>
      <c r="F101" s="189"/>
    </row>
    <row r="102" spans="1:6" ht="12" customHeight="1" x14ac:dyDescent="0.25">
      <c r="A102" s="12" t="s">
        <v>111</v>
      </c>
      <c r="B102" s="71" t="s">
        <v>289</v>
      </c>
      <c r="C102" s="308">
        <f t="shared" si="4"/>
        <v>0</v>
      </c>
      <c r="D102" s="269"/>
      <c r="E102" s="189"/>
      <c r="F102" s="189"/>
    </row>
    <row r="103" spans="1:6" ht="12" customHeight="1" x14ac:dyDescent="0.25">
      <c r="A103" s="12" t="s">
        <v>112</v>
      </c>
      <c r="B103" s="72" t="s">
        <v>290</v>
      </c>
      <c r="C103" s="308">
        <f t="shared" si="4"/>
        <v>0</v>
      </c>
      <c r="D103" s="269"/>
      <c r="E103" s="189"/>
      <c r="F103" s="189"/>
    </row>
    <row r="104" spans="1:6" ht="12" customHeight="1" x14ac:dyDescent="0.25">
      <c r="A104" s="12" t="s">
        <v>113</v>
      </c>
      <c r="B104" s="72" t="s">
        <v>291</v>
      </c>
      <c r="C104" s="308">
        <f t="shared" si="4"/>
        <v>0</v>
      </c>
      <c r="D104" s="269"/>
      <c r="E104" s="189"/>
      <c r="F104" s="189"/>
    </row>
    <row r="105" spans="1:6" ht="12" customHeight="1" x14ac:dyDescent="0.25">
      <c r="A105" s="12" t="s">
        <v>115</v>
      </c>
      <c r="B105" s="71" t="s">
        <v>292</v>
      </c>
      <c r="C105" s="305">
        <f t="shared" si="4"/>
        <v>590500</v>
      </c>
      <c r="D105" s="269">
        <f>523000+67500</f>
        <v>590500</v>
      </c>
      <c r="E105" s="189"/>
      <c r="F105" s="189"/>
    </row>
    <row r="106" spans="1:6" ht="12" customHeight="1" x14ac:dyDescent="0.25">
      <c r="A106" s="12" t="s">
        <v>147</v>
      </c>
      <c r="B106" s="71" t="s">
        <v>293</v>
      </c>
      <c r="C106" s="308">
        <f t="shared" si="4"/>
        <v>0</v>
      </c>
      <c r="D106" s="552"/>
      <c r="E106" s="189"/>
      <c r="F106" s="189"/>
    </row>
    <row r="107" spans="1:6" ht="12" customHeight="1" x14ac:dyDescent="0.25">
      <c r="A107" s="12" t="s">
        <v>287</v>
      </c>
      <c r="B107" s="72" t="s">
        <v>294</v>
      </c>
      <c r="C107" s="308">
        <f t="shared" si="4"/>
        <v>15000000</v>
      </c>
      <c r="D107" s="269">
        <v>15000000</v>
      </c>
      <c r="E107" s="189"/>
      <c r="F107" s="189"/>
    </row>
    <row r="108" spans="1:6" ht="12" customHeight="1" x14ac:dyDescent="0.25">
      <c r="A108" s="11" t="s">
        <v>288</v>
      </c>
      <c r="B108" s="73" t="s">
        <v>295</v>
      </c>
      <c r="C108" s="308">
        <f t="shared" si="4"/>
        <v>0</v>
      </c>
      <c r="D108" s="269"/>
      <c r="E108" s="189"/>
      <c r="F108" s="189"/>
    </row>
    <row r="109" spans="1:6" ht="12" customHeight="1" x14ac:dyDescent="0.25">
      <c r="A109" s="12" t="s">
        <v>460</v>
      </c>
      <c r="B109" s="73" t="s">
        <v>296</v>
      </c>
      <c r="C109" s="308">
        <f t="shared" si="4"/>
        <v>0</v>
      </c>
      <c r="D109" s="269"/>
      <c r="E109" s="189"/>
      <c r="F109" s="189"/>
    </row>
    <row r="110" spans="1:6" ht="12" customHeight="1" x14ac:dyDescent="0.25">
      <c r="A110" s="14" t="s">
        <v>461</v>
      </c>
      <c r="B110" s="73" t="s">
        <v>297</v>
      </c>
      <c r="C110" s="921">
        <f>SUM(D110:F110)</f>
        <v>226084761</v>
      </c>
      <c r="D110" s="265">
        <f>1000000+47869145+6604733+15489215+46984511+1500000+500000+6000000+200000+150000+9076783+69312000+7332000+1437616+580000-7332000+9625137+15000000+5755621-15000000+4000000</f>
        <v>226084761</v>
      </c>
      <c r="E110" s="126"/>
      <c r="F110" s="189"/>
    </row>
    <row r="111" spans="1:6" ht="12" customHeight="1" x14ac:dyDescent="0.25">
      <c r="A111" s="12" t="s">
        <v>462</v>
      </c>
      <c r="B111" s="6" t="s">
        <v>50</v>
      </c>
      <c r="C111" s="924">
        <f t="shared" si="4"/>
        <v>62980742</v>
      </c>
      <c r="D111" s="265">
        <f>SUM(D112:D113)</f>
        <v>62980742</v>
      </c>
      <c r="E111" s="126"/>
      <c r="F111" s="126"/>
    </row>
    <row r="112" spans="1:6" ht="12" customHeight="1" x14ac:dyDescent="0.25">
      <c r="A112" s="12" t="s">
        <v>463</v>
      </c>
      <c r="B112" s="6" t="s">
        <v>464</v>
      </c>
      <c r="C112" s="921">
        <f t="shared" si="4"/>
        <v>5503282</v>
      </c>
      <c r="D112" s="269">
        <f>15000000-580000+1410503+2373731-7043400-3015664+1903020-5520064+42419195-2253677-6432757-11677120-1761209-23319276+4000000</f>
        <v>5503282</v>
      </c>
      <c r="E112" s="189"/>
      <c r="F112" s="126"/>
    </row>
    <row r="113" spans="1:6" ht="12" customHeight="1" thickBot="1" x14ac:dyDescent="0.3">
      <c r="A113" s="16" t="s">
        <v>465</v>
      </c>
      <c r="B113" s="253" t="s">
        <v>466</v>
      </c>
      <c r="C113" s="921">
        <f t="shared" si="4"/>
        <v>57477460</v>
      </c>
      <c r="D113" s="301">
        <f>63390965+131495-200000-100000-3560000-150000+5985000-420000-3000000-4600000</f>
        <v>57477460</v>
      </c>
      <c r="E113" s="278"/>
      <c r="F113" s="278"/>
    </row>
    <row r="114" spans="1:6" ht="12" customHeight="1" thickBot="1" x14ac:dyDescent="0.3">
      <c r="A114" s="254" t="s">
        <v>20</v>
      </c>
      <c r="B114" s="255" t="s">
        <v>298</v>
      </c>
      <c r="C114" s="122">
        <f t="shared" si="4"/>
        <v>1365517011</v>
      </c>
      <c r="D114" s="281">
        <f>+D115+D117+D119</f>
        <v>1358598376</v>
      </c>
      <c r="E114" s="122">
        <f>+E115+E117+E119</f>
        <v>230000</v>
      </c>
      <c r="F114" s="256">
        <f>+F115+F117+F119</f>
        <v>6688635</v>
      </c>
    </row>
    <row r="115" spans="1:6" ht="18.75" customHeight="1" x14ac:dyDescent="0.25">
      <c r="A115" s="13" t="s">
        <v>101</v>
      </c>
      <c r="B115" s="6" t="s">
        <v>163</v>
      </c>
      <c r="C115" s="925">
        <f t="shared" si="4"/>
        <v>835747279</v>
      </c>
      <c r="D115" s="285">
        <f>229989520+13809000+835610+1270000+359410+4508500+2505001+6704583+82307980+1074000+74000+7815116+1654000+283988100-23353056+213461550+505068-140102+2259720+190244-100000</f>
        <v>829718244</v>
      </c>
      <c r="E115" s="238">
        <f>230000</f>
        <v>230000</v>
      </c>
      <c r="F115" s="238">
        <f>506050+641350+1986214+1926590+738831</f>
        <v>5799035</v>
      </c>
    </row>
    <row r="116" spans="1:6" ht="12" customHeight="1" x14ac:dyDescent="0.25">
      <c r="A116" s="13" t="s">
        <v>102</v>
      </c>
      <c r="B116" s="10" t="s">
        <v>302</v>
      </c>
      <c r="C116" s="925">
        <f t="shared" si="4"/>
        <v>700828665</v>
      </c>
      <c r="D116" s="285">
        <f>156693000+42191010+6704583+82307980+283698100-23353056+152706150+121000-140102-100000</f>
        <v>700828665</v>
      </c>
      <c r="E116" s="238"/>
      <c r="F116" s="238"/>
    </row>
    <row r="117" spans="1:6" ht="12" customHeight="1" x14ac:dyDescent="0.25">
      <c r="A117" s="13" t="s">
        <v>103</v>
      </c>
      <c r="B117" s="10" t="s">
        <v>148</v>
      </c>
      <c r="C117" s="925">
        <f t="shared" si="4"/>
        <v>502850626</v>
      </c>
      <c r="D117" s="265">
        <f>9517731+51474577+42450993+1905000+81765265+315941060+88900-1182500</f>
        <v>501961026</v>
      </c>
      <c r="E117" s="126"/>
      <c r="F117" s="126">
        <f>965200-75600</f>
        <v>889600</v>
      </c>
    </row>
    <row r="118" spans="1:6" ht="12" customHeight="1" x14ac:dyDescent="0.25">
      <c r="A118" s="13" t="s">
        <v>104</v>
      </c>
      <c r="B118" s="10" t="s">
        <v>303</v>
      </c>
      <c r="C118" s="925">
        <f t="shared" si="4"/>
        <v>149871308</v>
      </c>
      <c r="D118" s="265">
        <f>28614577+41244493+80112238-100000</f>
        <v>149871308</v>
      </c>
      <c r="E118" s="550"/>
      <c r="F118" s="265"/>
    </row>
    <row r="119" spans="1:6" ht="12" customHeight="1" x14ac:dyDescent="0.25">
      <c r="A119" s="13" t="s">
        <v>105</v>
      </c>
      <c r="B119" s="119" t="s">
        <v>165</v>
      </c>
      <c r="C119" s="195">
        <f t="shared" si="4"/>
        <v>26919106</v>
      </c>
      <c r="D119" s="269">
        <f>SUM(D120:D127)</f>
        <v>26919106</v>
      </c>
      <c r="E119" s="265"/>
      <c r="F119" s="265"/>
    </row>
    <row r="120" spans="1:6" ht="12" customHeight="1" x14ac:dyDescent="0.25">
      <c r="A120" s="13" t="s">
        <v>114</v>
      </c>
      <c r="B120" s="118" t="s">
        <v>365</v>
      </c>
      <c r="C120" s="195">
        <f t="shared" si="4"/>
        <v>0</v>
      </c>
      <c r="D120" s="111"/>
      <c r="E120" s="111"/>
      <c r="F120" s="265"/>
    </row>
    <row r="121" spans="1:6" ht="12" customHeight="1" x14ac:dyDescent="0.25">
      <c r="A121" s="13" t="s">
        <v>116</v>
      </c>
      <c r="B121" s="196" t="s">
        <v>308</v>
      </c>
      <c r="C121" s="195">
        <f t="shared" si="4"/>
        <v>0</v>
      </c>
      <c r="D121" s="111"/>
      <c r="E121" s="111"/>
      <c r="F121" s="265"/>
    </row>
    <row r="122" spans="1:6" x14ac:dyDescent="0.25">
      <c r="A122" s="13" t="s">
        <v>149</v>
      </c>
      <c r="B122" s="72" t="s">
        <v>291</v>
      </c>
      <c r="C122" s="195">
        <f t="shared" si="4"/>
        <v>0</v>
      </c>
      <c r="D122" s="111"/>
      <c r="E122" s="111"/>
      <c r="F122" s="265"/>
    </row>
    <row r="123" spans="1:6" ht="12" customHeight="1" x14ac:dyDescent="0.25">
      <c r="A123" s="13" t="s">
        <v>150</v>
      </c>
      <c r="B123" s="72" t="s">
        <v>307</v>
      </c>
      <c r="C123" s="195">
        <f t="shared" si="4"/>
        <v>0</v>
      </c>
      <c r="D123" s="111"/>
      <c r="E123" s="111"/>
      <c r="F123" s="265"/>
    </row>
    <row r="124" spans="1:6" ht="12" customHeight="1" x14ac:dyDescent="0.25">
      <c r="A124" s="13" t="s">
        <v>151</v>
      </c>
      <c r="B124" s="72" t="s">
        <v>306</v>
      </c>
      <c r="C124" s="195">
        <f t="shared" si="4"/>
        <v>0</v>
      </c>
      <c r="D124" s="111"/>
      <c r="E124" s="111"/>
      <c r="F124" s="265"/>
    </row>
    <row r="125" spans="1:6" ht="12" customHeight="1" x14ac:dyDescent="0.25">
      <c r="A125" s="13" t="s">
        <v>299</v>
      </c>
      <c r="B125" s="72" t="s">
        <v>294</v>
      </c>
      <c r="C125" s="195">
        <f t="shared" si="4"/>
        <v>0</v>
      </c>
      <c r="D125" s="111"/>
      <c r="E125" s="111"/>
      <c r="F125" s="265"/>
    </row>
    <row r="126" spans="1:6" ht="12" customHeight="1" x14ac:dyDescent="0.25">
      <c r="A126" s="13" t="s">
        <v>300</v>
      </c>
      <c r="B126" s="72" t="s">
        <v>305</v>
      </c>
      <c r="C126" s="195">
        <f t="shared" si="4"/>
        <v>0</v>
      </c>
      <c r="D126" s="111"/>
      <c r="E126" s="111"/>
      <c r="F126" s="265"/>
    </row>
    <row r="127" spans="1:6" ht="16.5" thickBot="1" x14ac:dyDescent="0.3">
      <c r="A127" s="11" t="s">
        <v>301</v>
      </c>
      <c r="B127" s="72" t="s">
        <v>304</v>
      </c>
      <c r="C127" s="195">
        <f t="shared" si="4"/>
        <v>26919106</v>
      </c>
      <c r="D127" s="112">
        <f>650000+26269106</f>
        <v>26919106</v>
      </c>
      <c r="E127" s="269"/>
      <c r="F127" s="269"/>
    </row>
    <row r="128" spans="1:6" ht="12" customHeight="1" thickBot="1" x14ac:dyDescent="0.3">
      <c r="A128" s="18" t="s">
        <v>21</v>
      </c>
      <c r="B128" s="67" t="s">
        <v>467</v>
      </c>
      <c r="C128" s="122">
        <f t="shared" si="4"/>
        <v>3062948961</v>
      </c>
      <c r="D128" s="281">
        <f>+D93+D114</f>
        <v>2030853016</v>
      </c>
      <c r="E128" s="122">
        <f>+E93+E114</f>
        <v>7337898</v>
      </c>
      <c r="F128" s="122">
        <f>+F93+F114</f>
        <v>1024758047</v>
      </c>
    </row>
    <row r="129" spans="1:6" ht="12" customHeight="1" thickBot="1" x14ac:dyDescent="0.3">
      <c r="A129" s="18" t="s">
        <v>22</v>
      </c>
      <c r="B129" s="67" t="s">
        <v>468</v>
      </c>
      <c r="C129" s="310">
        <f t="shared" si="4"/>
        <v>111674500</v>
      </c>
      <c r="D129" s="281">
        <f>+D130+D131+D132</f>
        <v>111674500</v>
      </c>
      <c r="E129" s="122">
        <f>+E130+E131+E132</f>
        <v>0</v>
      </c>
      <c r="F129" s="122">
        <f>+F130+F131+F132</f>
        <v>0</v>
      </c>
    </row>
    <row r="130" spans="1:6" ht="12" customHeight="1" x14ac:dyDescent="0.25">
      <c r="A130" s="13" t="s">
        <v>200</v>
      </c>
      <c r="B130" s="10" t="s">
        <v>469</v>
      </c>
      <c r="C130" s="195">
        <f t="shared" si="4"/>
        <v>11674500</v>
      </c>
      <c r="D130" s="265">
        <f>11674500</f>
        <v>11674500</v>
      </c>
      <c r="E130" s="265"/>
      <c r="F130" s="265"/>
    </row>
    <row r="131" spans="1:6" ht="12" customHeight="1" x14ac:dyDescent="0.25">
      <c r="A131" s="13" t="s">
        <v>203</v>
      </c>
      <c r="B131" s="10" t="s">
        <v>470</v>
      </c>
      <c r="C131" s="308">
        <f t="shared" si="4"/>
        <v>100000000</v>
      </c>
      <c r="D131" s="111">
        <f>100000000</f>
        <v>100000000</v>
      </c>
      <c r="E131" s="111"/>
      <c r="F131" s="111"/>
    </row>
    <row r="132" spans="1:6" ht="12" customHeight="1" thickBot="1" x14ac:dyDescent="0.3">
      <c r="A132" s="11" t="s">
        <v>204</v>
      </c>
      <c r="B132" s="10" t="s">
        <v>471</v>
      </c>
      <c r="C132" s="309">
        <f t="shared" si="4"/>
        <v>0</v>
      </c>
      <c r="D132" s="111"/>
      <c r="E132" s="111"/>
      <c r="F132" s="111"/>
    </row>
    <row r="133" spans="1:6" ht="12" customHeight="1" thickBot="1" x14ac:dyDescent="0.3">
      <c r="A133" s="18" t="s">
        <v>23</v>
      </c>
      <c r="B133" s="67" t="s">
        <v>472</v>
      </c>
      <c r="C133" s="310">
        <f t="shared" si="4"/>
        <v>0</v>
      </c>
      <c r="D133" s="281">
        <f>+D134+D135+D136+D137+D138+D139</f>
        <v>0</v>
      </c>
      <c r="E133" s="122">
        <f>+E134+E135+E136+E137+E138+E139</f>
        <v>0</v>
      </c>
      <c r="F133" s="122">
        <f>SUM(F134:F139)</f>
        <v>0</v>
      </c>
    </row>
    <row r="134" spans="1:6" ht="12" customHeight="1" x14ac:dyDescent="0.25">
      <c r="A134" s="13" t="s">
        <v>88</v>
      </c>
      <c r="B134" s="7" t="s">
        <v>473</v>
      </c>
      <c r="C134" s="195">
        <f t="shared" si="4"/>
        <v>0</v>
      </c>
      <c r="D134" s="111"/>
      <c r="E134" s="111"/>
      <c r="F134" s="111"/>
    </row>
    <row r="135" spans="1:6" ht="12" customHeight="1" x14ac:dyDescent="0.25">
      <c r="A135" s="13" t="s">
        <v>89</v>
      </c>
      <c r="B135" s="7" t="s">
        <v>474</v>
      </c>
      <c r="C135" s="308">
        <f t="shared" si="4"/>
        <v>0</v>
      </c>
      <c r="D135" s="111"/>
      <c r="E135" s="111"/>
      <c r="F135" s="111"/>
    </row>
    <row r="136" spans="1:6" ht="12" customHeight="1" x14ac:dyDescent="0.25">
      <c r="A136" s="13" t="s">
        <v>90</v>
      </c>
      <c r="B136" s="7" t="s">
        <v>475</v>
      </c>
      <c r="C136" s="308">
        <f t="shared" si="4"/>
        <v>0</v>
      </c>
      <c r="D136" s="111"/>
      <c r="E136" s="111"/>
      <c r="F136" s="111"/>
    </row>
    <row r="137" spans="1:6" ht="12" customHeight="1" x14ac:dyDescent="0.25">
      <c r="A137" s="13" t="s">
        <v>136</v>
      </c>
      <c r="B137" s="7" t="s">
        <v>476</v>
      </c>
      <c r="C137" s="308">
        <f t="shared" si="4"/>
        <v>0</v>
      </c>
      <c r="D137" s="111"/>
      <c r="E137" s="111"/>
      <c r="F137" s="111"/>
    </row>
    <row r="138" spans="1:6" ht="12" customHeight="1" x14ac:dyDescent="0.25">
      <c r="A138" s="13" t="s">
        <v>137</v>
      </c>
      <c r="B138" s="7" t="s">
        <v>477</v>
      </c>
      <c r="C138" s="308">
        <f t="shared" si="4"/>
        <v>0</v>
      </c>
      <c r="D138" s="111"/>
      <c r="E138" s="111"/>
      <c r="F138" s="111"/>
    </row>
    <row r="139" spans="1:6" ht="12" customHeight="1" thickBot="1" x14ac:dyDescent="0.3">
      <c r="A139" s="11" t="s">
        <v>138</v>
      </c>
      <c r="B139" s="7" t="s">
        <v>478</v>
      </c>
      <c r="C139" s="309">
        <f t="shared" si="4"/>
        <v>0</v>
      </c>
      <c r="D139" s="111"/>
      <c r="E139" s="111"/>
      <c r="F139" s="111"/>
    </row>
    <row r="140" spans="1:6" ht="12" customHeight="1" thickBot="1" x14ac:dyDescent="0.3">
      <c r="A140" s="18" t="s">
        <v>24</v>
      </c>
      <c r="B140" s="67" t="s">
        <v>479</v>
      </c>
      <c r="C140" s="122">
        <f t="shared" si="4"/>
        <v>41904332</v>
      </c>
      <c r="D140" s="284">
        <f>+D141+D142+D143+D144</f>
        <v>41904332</v>
      </c>
      <c r="E140" s="127">
        <f>+E141+E142+E143+E144</f>
        <v>0</v>
      </c>
      <c r="F140" s="127">
        <f>+F141+F142+F143+F144</f>
        <v>0</v>
      </c>
    </row>
    <row r="141" spans="1:6" ht="12" customHeight="1" x14ac:dyDescent="0.25">
      <c r="A141" s="13" t="s">
        <v>91</v>
      </c>
      <c r="B141" s="7" t="s">
        <v>309</v>
      </c>
      <c r="C141" s="195">
        <f t="shared" si="4"/>
        <v>0</v>
      </c>
      <c r="D141" s="111"/>
      <c r="E141" s="111"/>
      <c r="F141" s="111"/>
    </row>
    <row r="142" spans="1:6" ht="12" customHeight="1" x14ac:dyDescent="0.25">
      <c r="A142" s="13" t="s">
        <v>92</v>
      </c>
      <c r="B142" s="7" t="s">
        <v>310</v>
      </c>
      <c r="C142" s="308">
        <f t="shared" si="4"/>
        <v>41904332</v>
      </c>
      <c r="D142" s="111">
        <f>41904332</f>
        <v>41904332</v>
      </c>
      <c r="E142" s="111"/>
      <c r="F142" s="111"/>
    </row>
    <row r="143" spans="1:6" ht="12" customHeight="1" x14ac:dyDescent="0.25">
      <c r="A143" s="13" t="s">
        <v>223</v>
      </c>
      <c r="B143" s="7" t="s">
        <v>480</v>
      </c>
      <c r="C143" s="308">
        <f t="shared" si="4"/>
        <v>0</v>
      </c>
      <c r="D143" s="111"/>
      <c r="E143" s="111"/>
      <c r="F143" s="111"/>
    </row>
    <row r="144" spans="1:6" ht="12" customHeight="1" thickBot="1" x14ac:dyDescent="0.3">
      <c r="A144" s="11" t="s">
        <v>224</v>
      </c>
      <c r="B144" s="5" t="s">
        <v>328</v>
      </c>
      <c r="C144" s="309">
        <f t="shared" si="4"/>
        <v>0</v>
      </c>
      <c r="D144" s="111"/>
      <c r="E144" s="111"/>
      <c r="F144" s="111"/>
    </row>
    <row r="145" spans="1:9" ht="12" customHeight="1" thickBot="1" x14ac:dyDescent="0.3">
      <c r="A145" s="18" t="s">
        <v>25</v>
      </c>
      <c r="B145" s="67" t="s">
        <v>481</v>
      </c>
      <c r="C145" s="310">
        <f t="shared" si="4"/>
        <v>0</v>
      </c>
      <c r="D145" s="291">
        <f>+D146+D147+D148+D149+D150</f>
        <v>0</v>
      </c>
      <c r="E145" s="130">
        <f>+E146+E147+E148+E149+E150</f>
        <v>0</v>
      </c>
      <c r="F145" s="130">
        <f>SUM(F146:F150)</f>
        <v>0</v>
      </c>
    </row>
    <row r="146" spans="1:9" ht="12" customHeight="1" x14ac:dyDescent="0.25">
      <c r="A146" s="13" t="s">
        <v>93</v>
      </c>
      <c r="B146" s="7" t="s">
        <v>482</v>
      </c>
      <c r="C146" s="195">
        <f t="shared" si="4"/>
        <v>0</v>
      </c>
      <c r="D146" s="111"/>
      <c r="E146" s="111"/>
      <c r="F146" s="111"/>
    </row>
    <row r="147" spans="1:9" ht="12" customHeight="1" x14ac:dyDescent="0.25">
      <c r="A147" s="13" t="s">
        <v>94</v>
      </c>
      <c r="B147" s="7" t="s">
        <v>483</v>
      </c>
      <c r="C147" s="308">
        <f t="shared" si="4"/>
        <v>0</v>
      </c>
      <c r="D147" s="111"/>
      <c r="E147" s="111"/>
      <c r="F147" s="111"/>
    </row>
    <row r="148" spans="1:9" ht="12" customHeight="1" x14ac:dyDescent="0.25">
      <c r="A148" s="13" t="s">
        <v>235</v>
      </c>
      <c r="B148" s="7" t="s">
        <v>484</v>
      </c>
      <c r="C148" s="308">
        <f t="shared" si="4"/>
        <v>0</v>
      </c>
      <c r="D148" s="111"/>
      <c r="E148" s="111"/>
      <c r="F148" s="111"/>
    </row>
    <row r="149" spans="1:9" ht="12" customHeight="1" x14ac:dyDescent="0.25">
      <c r="A149" s="13" t="s">
        <v>236</v>
      </c>
      <c r="B149" s="7" t="s">
        <v>485</v>
      </c>
      <c r="C149" s="308">
        <f t="shared" si="4"/>
        <v>0</v>
      </c>
      <c r="D149" s="111"/>
      <c r="E149" s="111"/>
      <c r="F149" s="111"/>
    </row>
    <row r="150" spans="1:9" ht="12" customHeight="1" thickBot="1" x14ac:dyDescent="0.3">
      <c r="A150" s="13" t="s">
        <v>486</v>
      </c>
      <c r="B150" s="7" t="s">
        <v>487</v>
      </c>
      <c r="C150" s="309">
        <f t="shared" si="4"/>
        <v>0</v>
      </c>
      <c r="D150" s="112"/>
      <c r="E150" s="112"/>
      <c r="F150" s="111"/>
    </row>
    <row r="151" spans="1:9" ht="12" customHeight="1" thickBot="1" x14ac:dyDescent="0.3">
      <c r="A151" s="18" t="s">
        <v>26</v>
      </c>
      <c r="B151" s="67" t="s">
        <v>488</v>
      </c>
      <c r="C151" s="122">
        <f t="shared" si="4"/>
        <v>0</v>
      </c>
      <c r="D151" s="291"/>
      <c r="E151" s="130"/>
      <c r="F151" s="257"/>
    </row>
    <row r="152" spans="1:9" ht="12" customHeight="1" thickBot="1" x14ac:dyDescent="0.3">
      <c r="A152" s="18" t="s">
        <v>27</v>
      </c>
      <c r="B152" s="67" t="s">
        <v>489</v>
      </c>
      <c r="C152" s="121">
        <f t="shared" si="4"/>
        <v>0</v>
      </c>
      <c r="D152" s="291"/>
      <c r="E152" s="130"/>
      <c r="F152" s="257"/>
    </row>
    <row r="153" spans="1:9" ht="15" customHeight="1" thickBot="1" x14ac:dyDescent="0.3">
      <c r="A153" s="18" t="s">
        <v>28</v>
      </c>
      <c r="B153" s="67" t="s">
        <v>490</v>
      </c>
      <c r="C153" s="121">
        <f t="shared" si="4"/>
        <v>153578832</v>
      </c>
      <c r="D153" s="292">
        <f>+D129+D133+D140+D145+D151+D152</f>
        <v>153578832</v>
      </c>
      <c r="E153" s="210">
        <f>+E129+E133+E140+E145+E151+E152</f>
        <v>0</v>
      </c>
      <c r="F153" s="210">
        <f>+F129+F133+F140+F145+F151+F152</f>
        <v>0</v>
      </c>
      <c r="G153" s="211"/>
      <c r="H153" s="211"/>
      <c r="I153" s="211"/>
    </row>
    <row r="154" spans="1:9" s="199" customFormat="1" ht="12.95" customHeight="1" thickBot="1" x14ac:dyDescent="0.25">
      <c r="A154" s="120" t="s">
        <v>29</v>
      </c>
      <c r="B154" s="185" t="s">
        <v>491</v>
      </c>
      <c r="C154" s="122">
        <f t="shared" si="4"/>
        <v>3216527793</v>
      </c>
      <c r="D154" s="292">
        <f>+D128+D153</f>
        <v>2184431848</v>
      </c>
      <c r="E154" s="210">
        <f>+E128+E153</f>
        <v>7337898</v>
      </c>
      <c r="F154" s="210">
        <f>+F128+F153</f>
        <v>1024758047</v>
      </c>
    </row>
    <row r="155" spans="1:9" ht="7.5" customHeight="1" x14ac:dyDescent="0.25"/>
    <row r="156" spans="1:9" x14ac:dyDescent="0.25">
      <c r="A156" s="1174" t="s">
        <v>311</v>
      </c>
      <c r="B156" s="1174"/>
      <c r="C156" s="1174"/>
    </row>
    <row r="157" spans="1:9" ht="15" customHeight="1" thickBot="1" x14ac:dyDescent="0.3">
      <c r="A157" s="1171" t="s">
        <v>126</v>
      </c>
      <c r="B157" s="1171"/>
      <c r="C157" s="131" t="s">
        <v>552</v>
      </c>
    </row>
    <row r="158" spans="1:9" ht="13.5" customHeight="1" thickBot="1" x14ac:dyDescent="0.3">
      <c r="A158" s="18">
        <v>1</v>
      </c>
      <c r="B158" s="23" t="s">
        <v>492</v>
      </c>
      <c r="C158" s="122">
        <f>+C62-C128</f>
        <v>-100222130</v>
      </c>
    </row>
    <row r="159" spans="1:9" ht="27.75" customHeight="1" thickBot="1" x14ac:dyDescent="0.3">
      <c r="A159" s="18" t="s">
        <v>20</v>
      </c>
      <c r="B159" s="23" t="s">
        <v>493</v>
      </c>
      <c r="C159" s="122">
        <f>+C86-C153</f>
        <v>419183813</v>
      </c>
    </row>
    <row r="160" spans="1:9" x14ac:dyDescent="0.25">
      <c r="F160" s="31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4/2020.(II.28.)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rgb="FF92D050"/>
  </sheetPr>
  <dimension ref="A1:C61"/>
  <sheetViews>
    <sheetView view="pageLayout" topLeftCell="B1" zoomScaleNormal="145" workbookViewId="0">
      <selection activeCell="D8" sqref="D8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926" customFormat="1" ht="21" customHeight="1" thickBot="1" x14ac:dyDescent="0.25">
      <c r="A1" s="947"/>
      <c r="B1" s="948"/>
      <c r="C1" s="975"/>
    </row>
    <row r="2" spans="1:3" s="928" customFormat="1" ht="34.5" customHeight="1" x14ac:dyDescent="0.2">
      <c r="A2" s="967" t="s">
        <v>158</v>
      </c>
      <c r="B2" s="965" t="s">
        <v>532</v>
      </c>
      <c r="C2" s="976" t="s">
        <v>62</v>
      </c>
    </row>
    <row r="3" spans="1:3" s="928" customFormat="1" ht="24.75" thickBot="1" x14ac:dyDescent="0.25">
      <c r="A3" s="969" t="s">
        <v>157</v>
      </c>
      <c r="B3" s="966" t="s">
        <v>354</v>
      </c>
      <c r="C3" s="977" t="s">
        <v>54</v>
      </c>
    </row>
    <row r="4" spans="1:3" s="929" customFormat="1" ht="15.95" customHeight="1" thickBot="1" x14ac:dyDescent="0.3">
      <c r="A4" s="949"/>
      <c r="B4" s="949"/>
      <c r="C4" s="978" t="s">
        <v>553</v>
      </c>
    </row>
    <row r="5" spans="1:3" ht="13.5" thickBot="1" x14ac:dyDescent="0.25">
      <c r="A5" s="968" t="s">
        <v>159</v>
      </c>
      <c r="B5" s="950" t="s">
        <v>55</v>
      </c>
      <c r="C5" s="979" t="s">
        <v>56</v>
      </c>
    </row>
    <row r="6" spans="1:3" s="930" customFormat="1" ht="12.95" customHeight="1" thickBot="1" x14ac:dyDescent="0.25">
      <c r="A6" s="944" t="s">
        <v>443</v>
      </c>
      <c r="B6" s="945" t="s">
        <v>444</v>
      </c>
      <c r="C6" s="980" t="s">
        <v>445</v>
      </c>
    </row>
    <row r="7" spans="1:3" s="930" customFormat="1" ht="15.95" customHeight="1" thickBot="1" x14ac:dyDescent="0.25">
      <c r="A7" s="951"/>
      <c r="B7" s="952" t="s">
        <v>57</v>
      </c>
      <c r="C7" s="981"/>
    </row>
    <row r="8" spans="1:3" s="927" customFormat="1" ht="12" customHeight="1" thickBot="1" x14ac:dyDescent="0.25">
      <c r="A8" s="944" t="s">
        <v>19</v>
      </c>
      <c r="B8" s="953" t="s">
        <v>519</v>
      </c>
      <c r="C8" s="998">
        <f>SUM(C9:C19)</f>
        <v>62717229</v>
      </c>
    </row>
    <row r="9" spans="1:3" s="927" customFormat="1" ht="12" customHeight="1" x14ac:dyDescent="0.2">
      <c r="A9" s="970" t="s">
        <v>95</v>
      </c>
      <c r="B9" s="941" t="s">
        <v>212</v>
      </c>
      <c r="C9" s="983"/>
    </row>
    <row r="10" spans="1:3" s="927" customFormat="1" ht="12" customHeight="1" x14ac:dyDescent="0.2">
      <c r="A10" s="971" t="s">
        <v>96</v>
      </c>
      <c r="B10" s="939" t="s">
        <v>213</v>
      </c>
      <c r="C10" s="984">
        <f>32107480+1334000</f>
        <v>33441480</v>
      </c>
    </row>
    <row r="11" spans="1:3" s="927" customFormat="1" ht="12" customHeight="1" x14ac:dyDescent="0.2">
      <c r="A11" s="971" t="s">
        <v>97</v>
      </c>
      <c r="B11" s="939" t="s">
        <v>214</v>
      </c>
      <c r="C11" s="984">
        <v>1586000</v>
      </c>
    </row>
    <row r="12" spans="1:3" s="927" customFormat="1" ht="12" customHeight="1" x14ac:dyDescent="0.2">
      <c r="A12" s="971" t="s">
        <v>98</v>
      </c>
      <c r="B12" s="939" t="s">
        <v>215</v>
      </c>
      <c r="C12" s="984"/>
    </row>
    <row r="13" spans="1:3" s="927" customFormat="1" ht="12" customHeight="1" x14ac:dyDescent="0.2">
      <c r="A13" s="971" t="s">
        <v>121</v>
      </c>
      <c r="B13" s="939" t="s">
        <v>216</v>
      </c>
      <c r="C13" s="1018">
        <f>17535396-1900000</f>
        <v>15635396</v>
      </c>
    </row>
    <row r="14" spans="1:3" s="927" customFormat="1" ht="12" customHeight="1" x14ac:dyDescent="0.2">
      <c r="A14" s="971" t="s">
        <v>99</v>
      </c>
      <c r="B14" s="939" t="s">
        <v>337</v>
      </c>
      <c r="C14" s="1018">
        <f>4914377-496000</f>
        <v>4418377</v>
      </c>
    </row>
    <row r="15" spans="1:3" s="927" customFormat="1" ht="12" customHeight="1" x14ac:dyDescent="0.2">
      <c r="A15" s="971" t="s">
        <v>100</v>
      </c>
      <c r="B15" s="938" t="s">
        <v>338</v>
      </c>
      <c r="C15" s="984">
        <v>7614000</v>
      </c>
    </row>
    <row r="16" spans="1:3" s="927" customFormat="1" ht="12" customHeight="1" x14ac:dyDescent="0.2">
      <c r="A16" s="971" t="s">
        <v>110</v>
      </c>
      <c r="B16" s="939" t="s">
        <v>219</v>
      </c>
      <c r="C16" s="985"/>
    </row>
    <row r="17" spans="1:3" s="931" customFormat="1" ht="12" customHeight="1" x14ac:dyDescent="0.2">
      <c r="A17" s="971" t="s">
        <v>111</v>
      </c>
      <c r="B17" s="939" t="s">
        <v>220</v>
      </c>
      <c r="C17" s="984"/>
    </row>
    <row r="18" spans="1:3" s="931" customFormat="1" ht="12" customHeight="1" x14ac:dyDescent="0.2">
      <c r="A18" s="971" t="s">
        <v>112</v>
      </c>
      <c r="B18" s="939" t="s">
        <v>449</v>
      </c>
      <c r="C18" s="986"/>
    </row>
    <row r="19" spans="1:3" s="931" customFormat="1" ht="12" customHeight="1" thickBot="1" x14ac:dyDescent="0.25">
      <c r="A19" s="971" t="s">
        <v>113</v>
      </c>
      <c r="B19" s="938" t="s">
        <v>221</v>
      </c>
      <c r="C19" s="1049">
        <f>11081+10895</f>
        <v>21976</v>
      </c>
    </row>
    <row r="20" spans="1:3" s="927" customFormat="1" ht="12" customHeight="1" thickBot="1" x14ac:dyDescent="0.25">
      <c r="A20" s="944" t="s">
        <v>20</v>
      </c>
      <c r="B20" s="953" t="s">
        <v>339</v>
      </c>
      <c r="C20" s="982">
        <f>SUM(C21:C23)</f>
        <v>3029325</v>
      </c>
    </row>
    <row r="21" spans="1:3" s="931" customFormat="1" ht="12" customHeight="1" x14ac:dyDescent="0.2">
      <c r="A21" s="971" t="s">
        <v>101</v>
      </c>
      <c r="B21" s="940" t="s">
        <v>190</v>
      </c>
      <c r="C21" s="987"/>
    </row>
    <row r="22" spans="1:3" s="931" customFormat="1" ht="12" customHeight="1" x14ac:dyDescent="0.2">
      <c r="A22" s="971" t="s">
        <v>102</v>
      </c>
      <c r="B22" s="939" t="s">
        <v>340</v>
      </c>
      <c r="C22" s="984"/>
    </row>
    <row r="23" spans="1:3" s="931" customFormat="1" ht="12" customHeight="1" x14ac:dyDescent="0.2">
      <c r="A23" s="971" t="s">
        <v>103</v>
      </c>
      <c r="B23" s="939" t="s">
        <v>341</v>
      </c>
      <c r="C23" s="984">
        <f>1631175+1398150</f>
        <v>3029325</v>
      </c>
    </row>
    <row r="24" spans="1:3" s="931" customFormat="1" ht="12" customHeight="1" thickBot="1" x14ac:dyDescent="0.25">
      <c r="A24" s="971" t="s">
        <v>104</v>
      </c>
      <c r="B24" s="939" t="s">
        <v>520</v>
      </c>
      <c r="C24" s="984">
        <f>1631175+1398150</f>
        <v>3029325</v>
      </c>
    </row>
    <row r="25" spans="1:3" s="931" customFormat="1" ht="12" customHeight="1" thickBot="1" x14ac:dyDescent="0.25">
      <c r="A25" s="946" t="s">
        <v>21</v>
      </c>
      <c r="B25" s="942" t="s">
        <v>135</v>
      </c>
      <c r="C25" s="988"/>
    </row>
    <row r="26" spans="1:3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</row>
    <row r="27" spans="1:3" s="931" customFormat="1" ht="12" customHeight="1" x14ac:dyDescent="0.2">
      <c r="A27" s="972" t="s">
        <v>200</v>
      </c>
      <c r="B27" s="973" t="s">
        <v>195</v>
      </c>
      <c r="C27" s="989"/>
    </row>
    <row r="28" spans="1:3" s="931" customFormat="1" ht="12" customHeight="1" x14ac:dyDescent="0.2">
      <c r="A28" s="972" t="s">
        <v>203</v>
      </c>
      <c r="B28" s="973" t="s">
        <v>340</v>
      </c>
      <c r="C28" s="987"/>
    </row>
    <row r="29" spans="1:3" s="931" customFormat="1" ht="12" customHeight="1" x14ac:dyDescent="0.2">
      <c r="A29" s="972" t="s">
        <v>204</v>
      </c>
      <c r="B29" s="974" t="s">
        <v>342</v>
      </c>
      <c r="C29" s="987"/>
    </row>
    <row r="30" spans="1:3" s="931" customFormat="1" ht="12" customHeight="1" thickBot="1" x14ac:dyDescent="0.25">
      <c r="A30" s="971" t="s">
        <v>205</v>
      </c>
      <c r="B30" s="943" t="s">
        <v>522</v>
      </c>
      <c r="C30" s="990"/>
    </row>
    <row r="31" spans="1:3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</row>
    <row r="32" spans="1:3" s="931" customFormat="1" ht="12" customHeight="1" x14ac:dyDescent="0.2">
      <c r="A32" s="972" t="s">
        <v>88</v>
      </c>
      <c r="B32" s="973" t="s">
        <v>226</v>
      </c>
      <c r="C32" s="989"/>
    </row>
    <row r="33" spans="1:3" s="931" customFormat="1" ht="12" customHeight="1" x14ac:dyDescent="0.2">
      <c r="A33" s="972" t="s">
        <v>89</v>
      </c>
      <c r="B33" s="974" t="s">
        <v>227</v>
      </c>
      <c r="C33" s="985"/>
    </row>
    <row r="34" spans="1:3" s="927" customFormat="1" ht="12" customHeight="1" thickBot="1" x14ac:dyDescent="0.25">
      <c r="A34" s="971" t="s">
        <v>90</v>
      </c>
      <c r="B34" s="943" t="s">
        <v>228</v>
      </c>
      <c r="C34" s="990"/>
    </row>
    <row r="35" spans="1:3" s="927" customFormat="1" ht="12" customHeight="1" thickBot="1" x14ac:dyDescent="0.25">
      <c r="A35" s="946" t="s">
        <v>24</v>
      </c>
      <c r="B35" s="942" t="s">
        <v>314</v>
      </c>
      <c r="C35" s="988"/>
    </row>
    <row r="36" spans="1:3" s="927" customFormat="1" ht="12" customHeight="1" thickBot="1" x14ac:dyDescent="0.25">
      <c r="A36" s="946" t="s">
        <v>25</v>
      </c>
      <c r="B36" s="942" t="s">
        <v>344</v>
      </c>
      <c r="C36" s="991"/>
    </row>
    <row r="37" spans="1:3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65746554</v>
      </c>
    </row>
    <row r="38" spans="1:3" s="927" customFormat="1" ht="12" customHeight="1" thickBot="1" x14ac:dyDescent="0.25">
      <c r="A38" s="954" t="s">
        <v>27</v>
      </c>
      <c r="B38" s="942" t="s">
        <v>346</v>
      </c>
      <c r="C38" s="999">
        <f>+C39+C40+C41</f>
        <v>206548632</v>
      </c>
    </row>
    <row r="39" spans="1:3" s="927" customFormat="1" ht="12" customHeight="1" x14ac:dyDescent="0.2">
      <c r="A39" s="972" t="s">
        <v>347</v>
      </c>
      <c r="B39" s="973" t="s">
        <v>172</v>
      </c>
      <c r="C39" s="989">
        <v>1550858</v>
      </c>
    </row>
    <row r="40" spans="1:3" s="931" customFormat="1" ht="12" customHeight="1" x14ac:dyDescent="0.2">
      <c r="A40" s="972" t="s">
        <v>348</v>
      </c>
      <c r="B40" s="974" t="s">
        <v>10</v>
      </c>
      <c r="C40" s="985"/>
    </row>
    <row r="41" spans="1:3" s="931" customFormat="1" ht="15" customHeight="1" thickBot="1" x14ac:dyDescent="0.25">
      <c r="A41" s="971" t="s">
        <v>349</v>
      </c>
      <c r="B41" s="943" t="s">
        <v>350</v>
      </c>
      <c r="C41" s="1028">
        <f>238957245+846360+932600+1350000+200000+7043400+221980+358500+70000-491420-43110023+1652482+661250-1414000-509600-1771000</f>
        <v>204997774</v>
      </c>
    </row>
    <row r="42" spans="1:3" s="931" customFormat="1" ht="15" customHeight="1" thickBot="1" x14ac:dyDescent="0.25">
      <c r="A42" s="954" t="s">
        <v>28</v>
      </c>
      <c r="B42" s="955" t="s">
        <v>351</v>
      </c>
      <c r="C42" s="999">
        <f>+C37+C38</f>
        <v>272295186</v>
      </c>
    </row>
    <row r="43" spans="1:3" x14ac:dyDescent="0.2">
      <c r="A43" s="956"/>
      <c r="B43" s="957"/>
      <c r="C43" s="994"/>
    </row>
    <row r="44" spans="1:3" s="930" customFormat="1" ht="16.5" customHeight="1" thickBot="1" x14ac:dyDescent="0.25">
      <c r="A44" s="958"/>
      <c r="B44" s="959"/>
      <c r="C44" s="995"/>
    </row>
    <row r="45" spans="1:3" s="932" customFormat="1" ht="12" customHeight="1" thickBot="1" x14ac:dyDescent="0.25">
      <c r="A45" s="960"/>
      <c r="B45" s="961" t="s">
        <v>58</v>
      </c>
      <c r="C45" s="993"/>
    </row>
    <row r="46" spans="1:3" ht="12" customHeight="1" thickBot="1" x14ac:dyDescent="0.25">
      <c r="A46" s="946" t="s">
        <v>19</v>
      </c>
      <c r="B46" s="942" t="s">
        <v>352</v>
      </c>
      <c r="C46" s="998">
        <f>SUM(C47:C51)</f>
        <v>271719136</v>
      </c>
    </row>
    <row r="47" spans="1:3" ht="12" customHeight="1" x14ac:dyDescent="0.2">
      <c r="A47" s="971" t="s">
        <v>95</v>
      </c>
      <c r="B47" s="940" t="s">
        <v>49</v>
      </c>
      <c r="C47" s="989">
        <f>60512486+720000+1365000+110000+9273+1170000+300000-38124</f>
        <v>64148635</v>
      </c>
    </row>
    <row r="48" spans="1:3" ht="12" customHeight="1" x14ac:dyDescent="0.2">
      <c r="A48" s="971" t="s">
        <v>96</v>
      </c>
      <c r="B48" s="939" t="s">
        <v>144</v>
      </c>
      <c r="C48" s="984">
        <f>13261042+126360+266175+44781+1808+228150+58500-491420-12665</f>
        <v>13482731</v>
      </c>
    </row>
    <row r="49" spans="1:3" ht="12" customHeight="1" x14ac:dyDescent="0.2">
      <c r="A49" s="971" t="s">
        <v>97</v>
      </c>
      <c r="B49" s="939" t="s">
        <v>120</v>
      </c>
      <c r="C49" s="1018">
        <f>229985778+932600+1350000+200000+6888619+1555980-43110023+61684+1652482+661250-3810000-509600-755000-1016000</f>
        <v>194087770</v>
      </c>
    </row>
    <row r="50" spans="1:3" ht="12" customHeight="1" x14ac:dyDescent="0.2">
      <c r="A50" s="971" t="s">
        <v>98</v>
      </c>
      <c r="B50" s="939" t="s">
        <v>145</v>
      </c>
      <c r="C50" s="984"/>
    </row>
    <row r="51" spans="1:3" ht="12" customHeight="1" thickBot="1" x14ac:dyDescent="0.25">
      <c r="A51" s="971" t="s">
        <v>121</v>
      </c>
      <c r="B51" s="939" t="s">
        <v>146</v>
      </c>
      <c r="C51" s="984"/>
    </row>
    <row r="52" spans="1:3" s="932" customFormat="1" ht="12" customHeight="1" thickBot="1" x14ac:dyDescent="0.25">
      <c r="A52" s="946" t="s">
        <v>20</v>
      </c>
      <c r="B52" s="942" t="s">
        <v>353</v>
      </c>
      <c r="C52" s="982">
        <f>SUM(C53:C55)</f>
        <v>576050</v>
      </c>
    </row>
    <row r="53" spans="1:3" ht="12" customHeight="1" x14ac:dyDescent="0.2">
      <c r="A53" s="971" t="s">
        <v>101</v>
      </c>
      <c r="B53" s="940" t="s">
        <v>163</v>
      </c>
      <c r="C53" s="989">
        <f>506050+70000</f>
        <v>576050</v>
      </c>
    </row>
    <row r="54" spans="1:3" ht="12" customHeight="1" x14ac:dyDescent="0.2">
      <c r="A54" s="971" t="s">
        <v>102</v>
      </c>
      <c r="B54" s="939" t="s">
        <v>148</v>
      </c>
      <c r="C54" s="984"/>
    </row>
    <row r="55" spans="1:3" ht="12" customHeight="1" x14ac:dyDescent="0.2">
      <c r="A55" s="971" t="s">
        <v>103</v>
      </c>
      <c r="B55" s="939" t="s">
        <v>59</v>
      </c>
      <c r="C55" s="984"/>
    </row>
    <row r="56" spans="1:3" ht="15" customHeight="1" thickBot="1" x14ac:dyDescent="0.25">
      <c r="A56" s="971" t="s">
        <v>104</v>
      </c>
      <c r="B56" s="939" t="s">
        <v>523</v>
      </c>
      <c r="C56" s="984"/>
    </row>
    <row r="57" spans="1:3" ht="13.5" thickBot="1" x14ac:dyDescent="0.25">
      <c r="A57" s="946" t="s">
        <v>21</v>
      </c>
      <c r="B57" s="942" t="s">
        <v>13</v>
      </c>
      <c r="C57" s="988"/>
    </row>
    <row r="58" spans="1:3" ht="15" customHeight="1" thickBot="1" x14ac:dyDescent="0.25">
      <c r="A58" s="946" t="s">
        <v>22</v>
      </c>
      <c r="B58" s="962" t="s">
        <v>524</v>
      </c>
      <c r="C58" s="1000">
        <f>+C46+C52+C57</f>
        <v>272295186</v>
      </c>
    </row>
    <row r="59" spans="1:3" ht="14.25" customHeight="1" thickBot="1" x14ac:dyDescent="0.25">
      <c r="C59" s="996"/>
    </row>
    <row r="60" spans="1:3" x14ac:dyDescent="0.2">
      <c r="A60" s="753" t="s">
        <v>517</v>
      </c>
      <c r="B60" s="754"/>
      <c r="C60" s="755">
        <v>21.17</v>
      </c>
    </row>
    <row r="61" spans="1:3" ht="13.5" thickBot="1" x14ac:dyDescent="0.25">
      <c r="A61" s="1194" t="s">
        <v>779</v>
      </c>
      <c r="B61" s="1195"/>
      <c r="C61" s="771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4/2020.(II.28.)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view="pageLayout" zoomScaleNormal="100" workbookViewId="0">
      <selection activeCell="C37" sqref="C37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9.33203125" style="106"/>
    <col min="5" max="5" width="11.83203125" style="933" hidden="1" customWidth="1"/>
    <col min="6" max="6" width="12.5" style="933" hidden="1" customWidth="1"/>
    <col min="7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33203125" style="106"/>
    <col min="261" max="262" width="0" style="106" hidden="1" customWidth="1"/>
    <col min="263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33203125" style="106"/>
    <col min="517" max="518" width="0" style="106" hidden="1" customWidth="1"/>
    <col min="519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33203125" style="106"/>
    <col min="773" max="774" width="0" style="106" hidden="1" customWidth="1"/>
    <col min="775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33203125" style="106"/>
    <col min="1029" max="1030" width="0" style="106" hidden="1" customWidth="1"/>
    <col min="1031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33203125" style="106"/>
    <col min="1285" max="1286" width="0" style="106" hidden="1" customWidth="1"/>
    <col min="1287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33203125" style="106"/>
    <col min="1541" max="1542" width="0" style="106" hidden="1" customWidth="1"/>
    <col min="1543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33203125" style="106"/>
    <col min="1797" max="1798" width="0" style="106" hidden="1" customWidth="1"/>
    <col min="1799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33203125" style="106"/>
    <col min="2053" max="2054" width="0" style="106" hidden="1" customWidth="1"/>
    <col min="2055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33203125" style="106"/>
    <col min="2309" max="2310" width="0" style="106" hidden="1" customWidth="1"/>
    <col min="2311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33203125" style="106"/>
    <col min="2565" max="2566" width="0" style="106" hidden="1" customWidth="1"/>
    <col min="2567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33203125" style="106"/>
    <col min="2821" max="2822" width="0" style="106" hidden="1" customWidth="1"/>
    <col min="2823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33203125" style="106"/>
    <col min="3077" max="3078" width="0" style="106" hidden="1" customWidth="1"/>
    <col min="3079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33203125" style="106"/>
    <col min="3333" max="3334" width="0" style="106" hidden="1" customWidth="1"/>
    <col min="3335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33203125" style="106"/>
    <col min="3589" max="3590" width="0" style="106" hidden="1" customWidth="1"/>
    <col min="3591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33203125" style="106"/>
    <col min="3845" max="3846" width="0" style="106" hidden="1" customWidth="1"/>
    <col min="3847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33203125" style="106"/>
    <col min="4101" max="4102" width="0" style="106" hidden="1" customWidth="1"/>
    <col min="4103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33203125" style="106"/>
    <col min="4357" max="4358" width="0" style="106" hidden="1" customWidth="1"/>
    <col min="4359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33203125" style="106"/>
    <col min="4613" max="4614" width="0" style="106" hidden="1" customWidth="1"/>
    <col min="4615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33203125" style="106"/>
    <col min="4869" max="4870" width="0" style="106" hidden="1" customWidth="1"/>
    <col min="4871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33203125" style="106"/>
    <col min="5125" max="5126" width="0" style="106" hidden="1" customWidth="1"/>
    <col min="5127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33203125" style="106"/>
    <col min="5381" max="5382" width="0" style="106" hidden="1" customWidth="1"/>
    <col min="5383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33203125" style="106"/>
    <col min="5637" max="5638" width="0" style="106" hidden="1" customWidth="1"/>
    <col min="5639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33203125" style="106"/>
    <col min="5893" max="5894" width="0" style="106" hidden="1" customWidth="1"/>
    <col min="5895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33203125" style="106"/>
    <col min="6149" max="6150" width="0" style="106" hidden="1" customWidth="1"/>
    <col min="6151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33203125" style="106"/>
    <col min="6405" max="6406" width="0" style="106" hidden="1" customWidth="1"/>
    <col min="6407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33203125" style="106"/>
    <col min="6661" max="6662" width="0" style="106" hidden="1" customWidth="1"/>
    <col min="6663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33203125" style="106"/>
    <col min="6917" max="6918" width="0" style="106" hidden="1" customWidth="1"/>
    <col min="6919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33203125" style="106"/>
    <col min="7173" max="7174" width="0" style="106" hidden="1" customWidth="1"/>
    <col min="7175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33203125" style="106"/>
    <col min="7429" max="7430" width="0" style="106" hidden="1" customWidth="1"/>
    <col min="7431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33203125" style="106"/>
    <col min="7685" max="7686" width="0" style="106" hidden="1" customWidth="1"/>
    <col min="7687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33203125" style="106"/>
    <col min="7941" max="7942" width="0" style="106" hidden="1" customWidth="1"/>
    <col min="7943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33203125" style="106"/>
    <col min="8197" max="8198" width="0" style="106" hidden="1" customWidth="1"/>
    <col min="8199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33203125" style="106"/>
    <col min="8453" max="8454" width="0" style="106" hidden="1" customWidth="1"/>
    <col min="8455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33203125" style="106"/>
    <col min="8709" max="8710" width="0" style="106" hidden="1" customWidth="1"/>
    <col min="8711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33203125" style="106"/>
    <col min="8965" max="8966" width="0" style="106" hidden="1" customWidth="1"/>
    <col min="8967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33203125" style="106"/>
    <col min="9221" max="9222" width="0" style="106" hidden="1" customWidth="1"/>
    <col min="9223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33203125" style="106"/>
    <col min="9477" max="9478" width="0" style="106" hidden="1" customWidth="1"/>
    <col min="9479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33203125" style="106"/>
    <col min="9733" max="9734" width="0" style="106" hidden="1" customWidth="1"/>
    <col min="9735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33203125" style="106"/>
    <col min="9989" max="9990" width="0" style="106" hidden="1" customWidth="1"/>
    <col min="9991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33203125" style="106"/>
    <col min="10245" max="10246" width="0" style="106" hidden="1" customWidth="1"/>
    <col min="10247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33203125" style="106"/>
    <col min="10501" max="10502" width="0" style="106" hidden="1" customWidth="1"/>
    <col min="10503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33203125" style="106"/>
    <col min="10757" max="10758" width="0" style="106" hidden="1" customWidth="1"/>
    <col min="10759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33203125" style="106"/>
    <col min="11013" max="11014" width="0" style="106" hidden="1" customWidth="1"/>
    <col min="11015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33203125" style="106"/>
    <col min="11269" max="11270" width="0" style="106" hidden="1" customWidth="1"/>
    <col min="11271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33203125" style="106"/>
    <col min="11525" max="11526" width="0" style="106" hidden="1" customWidth="1"/>
    <col min="11527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33203125" style="106"/>
    <col min="11781" max="11782" width="0" style="106" hidden="1" customWidth="1"/>
    <col min="11783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33203125" style="106"/>
    <col min="12037" max="12038" width="0" style="106" hidden="1" customWidth="1"/>
    <col min="12039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33203125" style="106"/>
    <col min="12293" max="12294" width="0" style="106" hidden="1" customWidth="1"/>
    <col min="12295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33203125" style="106"/>
    <col min="12549" max="12550" width="0" style="106" hidden="1" customWidth="1"/>
    <col min="12551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33203125" style="106"/>
    <col min="12805" max="12806" width="0" style="106" hidden="1" customWidth="1"/>
    <col min="12807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33203125" style="106"/>
    <col min="13061" max="13062" width="0" style="106" hidden="1" customWidth="1"/>
    <col min="13063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33203125" style="106"/>
    <col min="13317" max="13318" width="0" style="106" hidden="1" customWidth="1"/>
    <col min="13319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33203125" style="106"/>
    <col min="13573" max="13574" width="0" style="106" hidden="1" customWidth="1"/>
    <col min="13575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33203125" style="106"/>
    <col min="13829" max="13830" width="0" style="106" hidden="1" customWidth="1"/>
    <col min="13831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33203125" style="106"/>
    <col min="14085" max="14086" width="0" style="106" hidden="1" customWidth="1"/>
    <col min="14087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33203125" style="106"/>
    <col min="14341" max="14342" width="0" style="106" hidden="1" customWidth="1"/>
    <col min="14343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33203125" style="106"/>
    <col min="14597" max="14598" width="0" style="106" hidden="1" customWidth="1"/>
    <col min="14599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33203125" style="106"/>
    <col min="14853" max="14854" width="0" style="106" hidden="1" customWidth="1"/>
    <col min="14855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33203125" style="106"/>
    <col min="15109" max="15110" width="0" style="106" hidden="1" customWidth="1"/>
    <col min="15111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33203125" style="106"/>
    <col min="15365" max="15366" width="0" style="106" hidden="1" customWidth="1"/>
    <col min="15367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33203125" style="106"/>
    <col min="15621" max="15622" width="0" style="106" hidden="1" customWidth="1"/>
    <col min="15623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33203125" style="106"/>
    <col min="15877" max="15878" width="0" style="106" hidden="1" customWidth="1"/>
    <col min="15879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33203125" style="106"/>
    <col min="16133" max="16134" width="0" style="106" hidden="1" customWidth="1"/>
    <col min="16135" max="16384" width="9.33203125" style="106"/>
  </cols>
  <sheetData>
    <row r="1" spans="1:6" s="926" customFormat="1" ht="21" customHeight="1" thickBot="1" x14ac:dyDescent="0.25">
      <c r="A1" s="947"/>
      <c r="B1" s="948"/>
      <c r="C1" s="975"/>
      <c r="E1" s="933"/>
      <c r="F1" s="933"/>
    </row>
    <row r="2" spans="1:6" s="928" customFormat="1" ht="33.75" customHeight="1" x14ac:dyDescent="0.2">
      <c r="A2" s="967" t="s">
        <v>158</v>
      </c>
      <c r="B2" s="965" t="s">
        <v>545</v>
      </c>
      <c r="C2" s="976" t="s">
        <v>62</v>
      </c>
      <c r="E2" s="934"/>
      <c r="F2" s="934"/>
    </row>
    <row r="3" spans="1:6" s="928" customFormat="1" ht="24.75" thickBot="1" x14ac:dyDescent="0.25">
      <c r="A3" s="969" t="s">
        <v>157</v>
      </c>
      <c r="B3" s="966" t="s">
        <v>336</v>
      </c>
      <c r="C3" s="977" t="s">
        <v>54</v>
      </c>
      <c r="E3" s="934"/>
      <c r="F3" s="934"/>
    </row>
    <row r="4" spans="1:6" s="929" customFormat="1" ht="15.95" customHeight="1" thickBot="1" x14ac:dyDescent="0.3">
      <c r="A4" s="949"/>
      <c r="B4" s="949"/>
      <c r="C4" s="978" t="s">
        <v>553</v>
      </c>
      <c r="E4" s="934"/>
      <c r="F4" s="934"/>
    </row>
    <row r="5" spans="1:6" ht="13.5" thickBot="1" x14ac:dyDescent="0.25">
      <c r="A5" s="968" t="s">
        <v>159</v>
      </c>
      <c r="B5" s="950" t="s">
        <v>55</v>
      </c>
      <c r="C5" s="979" t="s">
        <v>56</v>
      </c>
    </row>
    <row r="6" spans="1:6" s="930" customFormat="1" ht="12.95" customHeight="1" thickBot="1" x14ac:dyDescent="0.25">
      <c r="A6" s="944" t="s">
        <v>443</v>
      </c>
      <c r="B6" s="945" t="s">
        <v>444</v>
      </c>
      <c r="C6" s="980" t="s">
        <v>445</v>
      </c>
      <c r="E6" s="935"/>
      <c r="F6" s="935"/>
    </row>
    <row r="7" spans="1:6" s="930" customFormat="1" ht="15.95" customHeight="1" thickBot="1" x14ac:dyDescent="0.25">
      <c r="A7" s="951"/>
      <c r="B7" s="952" t="s">
        <v>57</v>
      </c>
      <c r="C7" s="981"/>
      <c r="E7" s="935"/>
      <c r="F7" s="935"/>
    </row>
    <row r="8" spans="1:6" s="927" customFormat="1" ht="12" customHeight="1" thickBot="1" x14ac:dyDescent="0.25">
      <c r="A8" s="944" t="s">
        <v>19</v>
      </c>
      <c r="B8" s="953" t="s">
        <v>519</v>
      </c>
      <c r="C8" s="998">
        <f>SUM(C9:C19)</f>
        <v>185544220</v>
      </c>
      <c r="E8" s="936" t="e">
        <f>#REF!+'9.6.2. sz. mell Kornisné Kp.'!C8+#REF!</f>
        <v>#REF!</v>
      </c>
      <c r="F8" s="936" t="e">
        <f>C8-E8</f>
        <v>#REF!</v>
      </c>
    </row>
    <row r="9" spans="1:6" s="927" customFormat="1" ht="12" customHeight="1" x14ac:dyDescent="0.2">
      <c r="A9" s="970" t="s">
        <v>95</v>
      </c>
      <c r="B9" s="941" t="s">
        <v>212</v>
      </c>
      <c r="C9" s="1108">
        <v>132900</v>
      </c>
      <c r="E9" s="936" t="e">
        <f>#REF!+'9.6.2. sz. mell Kornisné Kp.'!C9+#REF!</f>
        <v>#REF!</v>
      </c>
      <c r="F9" s="936" t="e">
        <f t="shared" ref="F9:F64" si="0">C9-E9</f>
        <v>#REF!</v>
      </c>
    </row>
    <row r="10" spans="1:6" s="927" customFormat="1" ht="12" customHeight="1" x14ac:dyDescent="0.2">
      <c r="A10" s="971" t="s">
        <v>96</v>
      </c>
      <c r="B10" s="939" t="s">
        <v>213</v>
      </c>
      <c r="C10" s="984">
        <f>13688512+306736+75250</f>
        <v>14070498</v>
      </c>
      <c r="E10" s="936" t="e">
        <f>#REF!+'9.6.2. sz. mell Kornisné Kp.'!C10+#REF!</f>
        <v>#REF!</v>
      </c>
      <c r="F10" s="936" t="e">
        <f t="shared" si="0"/>
        <v>#REF!</v>
      </c>
    </row>
    <row r="11" spans="1:6" s="927" customFormat="1" ht="12" customHeight="1" x14ac:dyDescent="0.2">
      <c r="A11" s="971" t="s">
        <v>97</v>
      </c>
      <c r="B11" s="939" t="s">
        <v>214</v>
      </c>
      <c r="C11" s="1018">
        <f>12700000-5000000</f>
        <v>7700000</v>
      </c>
      <c r="E11" s="936" t="e">
        <f>#REF!+'9.6.2. sz. mell Kornisné Kp.'!C11+#REF!</f>
        <v>#REF!</v>
      </c>
      <c r="F11" s="936" t="e">
        <f t="shared" si="0"/>
        <v>#REF!</v>
      </c>
    </row>
    <row r="12" spans="1:6" s="927" customFormat="1" ht="12" customHeight="1" x14ac:dyDescent="0.2">
      <c r="A12" s="971" t="s">
        <v>98</v>
      </c>
      <c r="B12" s="939" t="s">
        <v>215</v>
      </c>
      <c r="C12" s="984"/>
      <c r="E12" s="936" t="e">
        <f>#REF!+'9.6.2. sz. mell Kornisné Kp.'!C12+#REF!</f>
        <v>#REF!</v>
      </c>
      <c r="F12" s="936" t="e">
        <f t="shared" si="0"/>
        <v>#REF!</v>
      </c>
    </row>
    <row r="13" spans="1:6" s="927" customFormat="1" ht="12" customHeight="1" x14ac:dyDescent="0.2">
      <c r="A13" s="971" t="s">
        <v>121</v>
      </c>
      <c r="B13" s="939" t="s">
        <v>216</v>
      </c>
      <c r="C13" s="1018">
        <f>152500000+13816000-7300000</f>
        <v>159016000</v>
      </c>
      <c r="E13" s="936" t="e">
        <f>#REF!+'9.6.2. sz. mell Kornisné Kp.'!C13+#REF!</f>
        <v>#REF!</v>
      </c>
      <c r="F13" s="936" t="e">
        <f t="shared" si="0"/>
        <v>#REF!</v>
      </c>
    </row>
    <row r="14" spans="1:6" s="927" customFormat="1" ht="12" customHeight="1" x14ac:dyDescent="0.2">
      <c r="A14" s="971" t="s">
        <v>99</v>
      </c>
      <c r="B14" s="939" t="s">
        <v>337</v>
      </c>
      <c r="C14" s="1018">
        <f>4814904+82819-1100000</f>
        <v>3797723</v>
      </c>
      <c r="E14" s="936" t="e">
        <f>#REF!+'9.6.2. sz. mell Kornisné Kp.'!C14+#REF!</f>
        <v>#REF!</v>
      </c>
      <c r="F14" s="936" t="e">
        <f t="shared" si="0"/>
        <v>#REF!</v>
      </c>
    </row>
    <row r="15" spans="1:6" s="927" customFormat="1" ht="12" customHeight="1" x14ac:dyDescent="0.2">
      <c r="A15" s="971" t="s">
        <v>100</v>
      </c>
      <c r="B15" s="938" t="s">
        <v>338</v>
      </c>
      <c r="C15" s="984"/>
      <c r="E15" s="936" t="e">
        <f>#REF!+'9.6.2. sz. mell Kornisné Kp.'!C15+#REF!</f>
        <v>#REF!</v>
      </c>
      <c r="F15" s="936" t="e">
        <f t="shared" si="0"/>
        <v>#REF!</v>
      </c>
    </row>
    <row r="16" spans="1:6" s="927" customFormat="1" ht="12" customHeight="1" x14ac:dyDescent="0.2">
      <c r="A16" s="971" t="s">
        <v>110</v>
      </c>
      <c r="B16" s="939" t="s">
        <v>219</v>
      </c>
      <c r="C16" s="985"/>
      <c r="E16" s="936" t="e">
        <f>#REF!+'9.6.2. sz. mell Kornisné Kp.'!C16+#REF!</f>
        <v>#REF!</v>
      </c>
      <c r="F16" s="936" t="e">
        <f t="shared" si="0"/>
        <v>#REF!</v>
      </c>
    </row>
    <row r="17" spans="1:6" s="931" customFormat="1" ht="12" customHeight="1" x14ac:dyDescent="0.2">
      <c r="A17" s="971" t="s">
        <v>111</v>
      </c>
      <c r="B17" s="939" t="s">
        <v>220</v>
      </c>
      <c r="C17" s="984"/>
      <c r="E17" s="936" t="e">
        <f>#REF!+'9.6.2. sz. mell Kornisné Kp.'!C17+#REF!</f>
        <v>#REF!</v>
      </c>
      <c r="F17" s="936" t="e">
        <f t="shared" si="0"/>
        <v>#REF!</v>
      </c>
    </row>
    <row r="18" spans="1:6" s="931" customFormat="1" ht="12" customHeight="1" x14ac:dyDescent="0.2">
      <c r="A18" s="971" t="s">
        <v>112</v>
      </c>
      <c r="B18" s="939" t="s">
        <v>449</v>
      </c>
      <c r="C18" s="986"/>
      <c r="E18" s="936" t="e">
        <f>#REF!+'9.6.2. sz. mell Kornisné Kp.'!C18+#REF!</f>
        <v>#REF!</v>
      </c>
      <c r="F18" s="936" t="e">
        <f t="shared" si="0"/>
        <v>#REF!</v>
      </c>
    </row>
    <row r="19" spans="1:6" s="931" customFormat="1" ht="12" customHeight="1" thickBot="1" x14ac:dyDescent="0.25">
      <c r="A19" s="971" t="s">
        <v>113</v>
      </c>
      <c r="B19" s="938" t="s">
        <v>221</v>
      </c>
      <c r="C19" s="986">
        <f>76652+16176+734271</f>
        <v>827099</v>
      </c>
      <c r="E19" s="936" t="e">
        <f>#REF!+'9.6.2. sz. mell Kornisné Kp.'!C19+#REF!</f>
        <v>#REF!</v>
      </c>
      <c r="F19" s="936" t="e">
        <f t="shared" si="0"/>
        <v>#REF!</v>
      </c>
    </row>
    <row r="20" spans="1:6" s="927" customFormat="1" ht="12" customHeight="1" thickBot="1" x14ac:dyDescent="0.25">
      <c r="A20" s="944" t="s">
        <v>20</v>
      </c>
      <c r="B20" s="953" t="s">
        <v>339</v>
      </c>
      <c r="C20" s="998">
        <f>SUM(C21:C23)</f>
        <v>82654427</v>
      </c>
      <c r="E20" s="936" t="e">
        <f>#REF!+'9.6.2. sz. mell Kornisné Kp.'!C20+#REF!</f>
        <v>#REF!</v>
      </c>
      <c r="F20" s="936" t="e">
        <f t="shared" si="0"/>
        <v>#REF!</v>
      </c>
    </row>
    <row r="21" spans="1:6" s="931" customFormat="1" ht="12" customHeight="1" x14ac:dyDescent="0.2">
      <c r="A21" s="971" t="s">
        <v>101</v>
      </c>
      <c r="B21" s="940" t="s">
        <v>190</v>
      </c>
      <c r="C21" s="984"/>
      <c r="E21" s="936" t="e">
        <f>#REF!+'9.6.2. sz. mell Kornisné Kp.'!C21+#REF!</f>
        <v>#REF!</v>
      </c>
      <c r="F21" s="936" t="e">
        <f t="shared" si="0"/>
        <v>#REF!</v>
      </c>
    </row>
    <row r="22" spans="1:6" s="931" customFormat="1" ht="12" customHeight="1" x14ac:dyDescent="0.2">
      <c r="A22" s="971" t="s">
        <v>102</v>
      </c>
      <c r="B22" s="939" t="s">
        <v>340</v>
      </c>
      <c r="C22" s="984"/>
      <c r="E22" s="936" t="e">
        <f>#REF!+'9.6.2. sz. mell Kornisné Kp.'!C22+#REF!</f>
        <v>#REF!</v>
      </c>
      <c r="F22" s="936" t="e">
        <f t="shared" si="0"/>
        <v>#REF!</v>
      </c>
    </row>
    <row r="23" spans="1:6" s="931" customFormat="1" ht="12" customHeight="1" x14ac:dyDescent="0.2">
      <c r="A23" s="971" t="s">
        <v>103</v>
      </c>
      <c r="B23" s="939" t="s">
        <v>341</v>
      </c>
      <c r="C23" s="1018">
        <f>22754943+1659858+68521580-10878000+211500+384546</f>
        <v>82654427</v>
      </c>
      <c r="E23" s="936" t="e">
        <f>#REF!+'9.6.2. sz. mell Kornisné Kp.'!C23+#REF!</f>
        <v>#REF!</v>
      </c>
      <c r="F23" s="936" t="e">
        <f t="shared" si="0"/>
        <v>#REF!</v>
      </c>
    </row>
    <row r="24" spans="1:6" s="931" customFormat="1" ht="12" customHeight="1" thickBot="1" x14ac:dyDescent="0.25">
      <c r="A24" s="971" t="s">
        <v>104</v>
      </c>
      <c r="B24" s="939" t="s">
        <v>520</v>
      </c>
      <c r="C24" s="1018">
        <f>754943+1659858+68521580+211500+384546</f>
        <v>71532427</v>
      </c>
      <c r="E24" s="936" t="e">
        <f>#REF!+'9.6.2. sz. mell Kornisné Kp.'!C24+#REF!</f>
        <v>#REF!</v>
      </c>
      <c r="F24" s="936" t="e">
        <f t="shared" si="0"/>
        <v>#REF!</v>
      </c>
    </row>
    <row r="25" spans="1:6" s="931" customFormat="1" ht="12" customHeight="1" thickBot="1" x14ac:dyDescent="0.25">
      <c r="A25" s="946" t="s">
        <v>21</v>
      </c>
      <c r="B25" s="942" t="s">
        <v>135</v>
      </c>
      <c r="C25" s="988"/>
      <c r="E25" s="936" t="e">
        <f>#REF!+'9.6.2. sz. mell Kornisné Kp.'!C25+#REF!</f>
        <v>#REF!</v>
      </c>
      <c r="F25" s="936" t="e">
        <f t="shared" si="0"/>
        <v>#REF!</v>
      </c>
    </row>
    <row r="26" spans="1:6" s="931" customFormat="1" ht="12" customHeight="1" thickBot="1" x14ac:dyDescent="0.25">
      <c r="A26" s="946" t="s">
        <v>22</v>
      </c>
      <c r="B26" s="942" t="s">
        <v>521</v>
      </c>
      <c r="C26" s="982">
        <f>+C27+C28+C29</f>
        <v>14325200</v>
      </c>
      <c r="E26" s="936" t="e">
        <f>#REF!+'9.6.2. sz. mell Kornisné Kp.'!C26+#REF!</f>
        <v>#REF!</v>
      </c>
      <c r="F26" s="936" t="e">
        <f t="shared" si="0"/>
        <v>#REF!</v>
      </c>
    </row>
    <row r="27" spans="1:6" s="931" customFormat="1" ht="12" customHeight="1" x14ac:dyDescent="0.2">
      <c r="A27" s="972" t="s">
        <v>200</v>
      </c>
      <c r="B27" s="973" t="s">
        <v>195</v>
      </c>
      <c r="C27" s="989"/>
      <c r="E27" s="936" t="e">
        <f>#REF!+'9.6.2. sz. mell Kornisné Kp.'!C27+#REF!</f>
        <v>#REF!</v>
      </c>
      <c r="F27" s="936" t="e">
        <f t="shared" si="0"/>
        <v>#REF!</v>
      </c>
    </row>
    <row r="28" spans="1:6" s="931" customFormat="1" ht="12" customHeight="1" x14ac:dyDescent="0.2">
      <c r="A28" s="972" t="s">
        <v>203</v>
      </c>
      <c r="B28" s="973" t="s">
        <v>340</v>
      </c>
      <c r="C28" s="987"/>
      <c r="E28" s="936" t="e">
        <f>#REF!+'9.6.2. sz. mell Kornisné Kp.'!C28+#REF!</f>
        <v>#REF!</v>
      </c>
      <c r="F28" s="936" t="e">
        <f t="shared" si="0"/>
        <v>#REF!</v>
      </c>
    </row>
    <row r="29" spans="1:6" s="931" customFormat="1" ht="12" customHeight="1" x14ac:dyDescent="0.2">
      <c r="A29" s="972" t="s">
        <v>204</v>
      </c>
      <c r="B29" s="974" t="s">
        <v>342</v>
      </c>
      <c r="C29" s="984">
        <f>1092200+13233000</f>
        <v>14325200</v>
      </c>
      <c r="E29" s="936" t="e">
        <f>#REF!+'9.6.2. sz. mell Kornisné Kp.'!C29+#REF!</f>
        <v>#REF!</v>
      </c>
      <c r="F29" s="936" t="e">
        <f t="shared" si="0"/>
        <v>#REF!</v>
      </c>
    </row>
    <row r="30" spans="1:6" s="931" customFormat="1" ht="12" customHeight="1" thickBot="1" x14ac:dyDescent="0.25">
      <c r="A30" s="971" t="s">
        <v>205</v>
      </c>
      <c r="B30" s="943" t="s">
        <v>522</v>
      </c>
      <c r="C30" s="990">
        <v>1092200</v>
      </c>
      <c r="E30" s="936" t="e">
        <f>#REF!+'9.6.2. sz. mell Kornisné Kp.'!C30+#REF!</f>
        <v>#REF!</v>
      </c>
      <c r="F30" s="936" t="e">
        <f t="shared" si="0"/>
        <v>#REF!</v>
      </c>
    </row>
    <row r="31" spans="1:6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  <c r="E31" s="936" t="e">
        <f>#REF!+'9.6.2. sz. mell Kornisné Kp.'!C31+#REF!</f>
        <v>#REF!</v>
      </c>
      <c r="F31" s="936" t="e">
        <f t="shared" si="0"/>
        <v>#REF!</v>
      </c>
    </row>
    <row r="32" spans="1:6" s="931" customFormat="1" ht="12" customHeight="1" x14ac:dyDescent="0.2">
      <c r="A32" s="972" t="s">
        <v>88</v>
      </c>
      <c r="B32" s="973" t="s">
        <v>226</v>
      </c>
      <c r="C32" s="989"/>
      <c r="E32" s="936" t="e">
        <f>#REF!+'9.6.2. sz. mell Kornisné Kp.'!C32+#REF!</f>
        <v>#REF!</v>
      </c>
      <c r="F32" s="936" t="e">
        <f t="shared" si="0"/>
        <v>#REF!</v>
      </c>
    </row>
    <row r="33" spans="1:6" s="931" customFormat="1" ht="12" customHeight="1" x14ac:dyDescent="0.2">
      <c r="A33" s="972" t="s">
        <v>89</v>
      </c>
      <c r="B33" s="974" t="s">
        <v>227</v>
      </c>
      <c r="C33" s="985"/>
      <c r="E33" s="936" t="e">
        <f>#REF!+'9.6.2. sz. mell Kornisné Kp.'!C33+#REF!</f>
        <v>#REF!</v>
      </c>
      <c r="F33" s="936" t="e">
        <f t="shared" si="0"/>
        <v>#REF!</v>
      </c>
    </row>
    <row r="34" spans="1:6" s="927" customFormat="1" ht="12" customHeight="1" thickBot="1" x14ac:dyDescent="0.25">
      <c r="A34" s="971" t="s">
        <v>90</v>
      </c>
      <c r="B34" s="943" t="s">
        <v>228</v>
      </c>
      <c r="C34" s="990"/>
      <c r="E34" s="936" t="e">
        <f>#REF!+'9.6.2. sz. mell Kornisné Kp.'!C34+#REF!</f>
        <v>#REF!</v>
      </c>
      <c r="F34" s="936" t="e">
        <f t="shared" si="0"/>
        <v>#REF!</v>
      </c>
    </row>
    <row r="35" spans="1:6" s="927" customFormat="1" ht="12" customHeight="1" thickBot="1" x14ac:dyDescent="0.25">
      <c r="A35" s="946" t="s">
        <v>24</v>
      </c>
      <c r="B35" s="942" t="s">
        <v>314</v>
      </c>
      <c r="C35" s="988">
        <v>80000</v>
      </c>
      <c r="E35" s="936" t="e">
        <f>#REF!+'9.6.2. sz. mell Kornisné Kp.'!C35+#REF!</f>
        <v>#REF!</v>
      </c>
      <c r="F35" s="936" t="e">
        <f t="shared" si="0"/>
        <v>#REF!</v>
      </c>
    </row>
    <row r="36" spans="1:6" s="927" customFormat="1" ht="12" customHeight="1" thickBot="1" x14ac:dyDescent="0.25">
      <c r="A36" s="946" t="s">
        <v>25</v>
      </c>
      <c r="B36" s="942" t="s">
        <v>344</v>
      </c>
      <c r="C36" s="991"/>
      <c r="E36" s="936" t="e">
        <f>#REF!+'9.6.2. sz. mell Kornisné Kp.'!C36+#REF!</f>
        <v>#REF!</v>
      </c>
      <c r="F36" s="936" t="e">
        <f t="shared" si="0"/>
        <v>#REF!</v>
      </c>
    </row>
    <row r="37" spans="1:6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282603847</v>
      </c>
      <c r="E37" s="936" t="e">
        <f>#REF!+'9.6.2. sz. mell Kornisné Kp.'!C37+#REF!</f>
        <v>#REF!</v>
      </c>
      <c r="F37" s="936" t="e">
        <f t="shared" si="0"/>
        <v>#REF!</v>
      </c>
    </row>
    <row r="38" spans="1:6" s="927" customFormat="1" ht="12" customHeight="1" thickBot="1" x14ac:dyDescent="0.25">
      <c r="A38" s="954" t="s">
        <v>27</v>
      </c>
      <c r="B38" s="942" t="s">
        <v>346</v>
      </c>
      <c r="C38" s="999">
        <f>+C39+C40+C41</f>
        <v>582904813</v>
      </c>
      <c r="E38" s="936" t="e">
        <f>#REF!+'9.6.2. sz. mell Kornisné Kp.'!C38+#REF!</f>
        <v>#REF!</v>
      </c>
      <c r="F38" s="936" t="e">
        <f t="shared" si="0"/>
        <v>#REF!</v>
      </c>
    </row>
    <row r="39" spans="1:6" s="927" customFormat="1" ht="12" customHeight="1" x14ac:dyDescent="0.2">
      <c r="A39" s="972" t="s">
        <v>347</v>
      </c>
      <c r="B39" s="973" t="s">
        <v>172</v>
      </c>
      <c r="C39" s="989">
        <v>13840612</v>
      </c>
      <c r="E39" s="936" t="e">
        <f>#REF!+'9.6.2. sz. mell Kornisné Kp.'!C39+#REF!</f>
        <v>#REF!</v>
      </c>
      <c r="F39" s="936" t="e">
        <f t="shared" si="0"/>
        <v>#REF!</v>
      </c>
    </row>
    <row r="40" spans="1:6" s="931" customFormat="1" ht="12" customHeight="1" x14ac:dyDescent="0.2">
      <c r="A40" s="972" t="s">
        <v>348</v>
      </c>
      <c r="B40" s="974" t="s">
        <v>10</v>
      </c>
      <c r="C40" s="985"/>
      <c r="E40" s="936" t="e">
        <f>#REF!+'9.6.2. sz. mell Kornisné Kp.'!C40+#REF!</f>
        <v>#REF!</v>
      </c>
      <c r="F40" s="936" t="e">
        <f t="shared" si="0"/>
        <v>#REF!</v>
      </c>
    </row>
    <row r="41" spans="1:6" s="931" customFormat="1" ht="15" customHeight="1" thickBot="1" x14ac:dyDescent="0.25">
      <c r="A41" s="971" t="s">
        <v>349</v>
      </c>
      <c r="B41" s="943" t="s">
        <v>350</v>
      </c>
      <c r="C41" s="1028">
        <f>562158632+95600-10486841-1850000+200000+202200-3257612+876565+458250+801000+600000+1524000+2800000+1528907+13500+13400000</f>
        <v>569064201</v>
      </c>
      <c r="E41" s="936" t="e">
        <f>#REF!+'9.6.2. sz. mell Kornisné Kp.'!C41+#REF!</f>
        <v>#REF!</v>
      </c>
      <c r="F41" s="936" t="e">
        <f t="shared" si="0"/>
        <v>#REF!</v>
      </c>
    </row>
    <row r="42" spans="1:6" s="931" customFormat="1" ht="15" customHeight="1" thickBot="1" x14ac:dyDescent="0.25">
      <c r="A42" s="954" t="s">
        <v>28</v>
      </c>
      <c r="B42" s="955" t="s">
        <v>351</v>
      </c>
      <c r="C42" s="999">
        <f>+C37+C38</f>
        <v>865508660</v>
      </c>
      <c r="E42" s="936" t="e">
        <f>#REF!+'9.6.2. sz. mell Kornisné Kp.'!C42+#REF!</f>
        <v>#REF!</v>
      </c>
      <c r="F42" s="936" t="e">
        <f t="shared" si="0"/>
        <v>#REF!</v>
      </c>
    </row>
    <row r="43" spans="1:6" x14ac:dyDescent="0.2">
      <c r="A43" s="956"/>
      <c r="B43" s="957"/>
      <c r="C43" s="994"/>
      <c r="E43" s="936" t="e">
        <f>#REF!+'9.6.2. sz. mell Kornisné Kp.'!C43+#REF!</f>
        <v>#REF!</v>
      </c>
      <c r="F43" s="936" t="e">
        <f t="shared" si="0"/>
        <v>#REF!</v>
      </c>
    </row>
    <row r="44" spans="1:6" s="930" customFormat="1" ht="16.5" customHeight="1" thickBot="1" x14ac:dyDescent="0.25">
      <c r="A44" s="958"/>
      <c r="B44" s="959"/>
      <c r="C44" s="995"/>
      <c r="E44" s="936" t="e">
        <f>#REF!+'9.6.2. sz. mell Kornisné Kp.'!C44+#REF!</f>
        <v>#REF!</v>
      </c>
      <c r="F44" s="936" t="e">
        <f t="shared" si="0"/>
        <v>#REF!</v>
      </c>
    </row>
    <row r="45" spans="1:6" s="932" customFormat="1" ht="12" customHeight="1" thickBot="1" x14ac:dyDescent="0.25">
      <c r="A45" s="960"/>
      <c r="B45" s="961" t="s">
        <v>58</v>
      </c>
      <c r="C45" s="993"/>
      <c r="E45" s="936" t="e">
        <f>#REF!+'9.6.2. sz. mell Kornisné Kp.'!C45+#REF!</f>
        <v>#REF!</v>
      </c>
      <c r="F45" s="936" t="e">
        <f t="shared" si="0"/>
        <v>#REF!</v>
      </c>
    </row>
    <row r="46" spans="1:6" ht="12" customHeight="1" thickBot="1" x14ac:dyDescent="0.25">
      <c r="A46" s="946" t="s">
        <v>19</v>
      </c>
      <c r="B46" s="942" t="s">
        <v>352</v>
      </c>
      <c r="C46" s="998">
        <f>SUM(C47:C51)</f>
        <v>844704287</v>
      </c>
      <c r="E46" s="936" t="e">
        <f>#REF!+'9.6.2. sz. mell Kornisné Kp.'!C46+#REF!</f>
        <v>#REF!</v>
      </c>
      <c r="F46" s="936" t="e">
        <f t="shared" si="0"/>
        <v>#REF!</v>
      </c>
    </row>
    <row r="47" spans="1:6" ht="12" customHeight="1" x14ac:dyDescent="0.2">
      <c r="A47" s="971" t="s">
        <v>95</v>
      </c>
      <c r="B47" s="940" t="s">
        <v>49</v>
      </c>
      <c r="C47" s="1017">
        <f>471445483+80000+1453144-232505-117000-1170000+877500+49983852+746013-1755000+73887+180000+390000+159700+327273</f>
        <v>522442347</v>
      </c>
      <c r="E47" s="936" t="e">
        <f>#REF!+'9.6.2. sz. mell Kornisné Kp.'!C47+#REF!</f>
        <v>#REF!</v>
      </c>
      <c r="F47" s="936" t="e">
        <f t="shared" si="0"/>
        <v>#REF!</v>
      </c>
    </row>
    <row r="48" spans="1:6" ht="12" customHeight="1" x14ac:dyDescent="0.2">
      <c r="A48" s="971" t="s">
        <v>96</v>
      </c>
      <c r="B48" s="939" t="s">
        <v>144</v>
      </c>
      <c r="C48" s="1018">
        <f>98130166+15600+283366-49177-22700+292500+13320738-3757612+130552-342225+12930+31500+68250+27948+57273</f>
        <v>108199109</v>
      </c>
      <c r="E48" s="936" t="e">
        <f>#REF!+'9.6.2. sz. mell Kornisné Kp.'!C48+#REF!</f>
        <v>#REF!</v>
      </c>
      <c r="F48" s="936" t="e">
        <f t="shared" si="0"/>
        <v>#REF!</v>
      </c>
    </row>
    <row r="49" spans="1:6" ht="12" customHeight="1" x14ac:dyDescent="0.2">
      <c r="A49" s="971" t="s">
        <v>97</v>
      </c>
      <c r="B49" s="939" t="s">
        <v>120</v>
      </c>
      <c r="C49" s="1018">
        <f>198957271+3292441+131952+220321-1850000+297858+139700+202200+2649556+500000+2097225+647454+600000+80000-187648-70000+2800000+132067</f>
        <v>210640397</v>
      </c>
      <c r="E49" s="936" t="e">
        <f>#REF!+'9.6.2. sz. mell Kornisné Kp.'!C49+#REF!</f>
        <v>#REF!</v>
      </c>
      <c r="F49" s="936" t="e">
        <f t="shared" si="0"/>
        <v>#REF!</v>
      </c>
    </row>
    <row r="50" spans="1:6" ht="12" customHeight="1" x14ac:dyDescent="0.2">
      <c r="A50" s="971" t="s">
        <v>98</v>
      </c>
      <c r="B50" s="939" t="s">
        <v>145</v>
      </c>
      <c r="C50" s="984"/>
      <c r="E50" s="936" t="e">
        <f>#REF!+'9.6.2. sz. mell Kornisné Kp.'!C50+#REF!</f>
        <v>#REF!</v>
      </c>
      <c r="F50" s="936" t="e">
        <f t="shared" si="0"/>
        <v>#REF!</v>
      </c>
    </row>
    <row r="51" spans="1:6" ht="12" customHeight="1" thickBot="1" x14ac:dyDescent="0.25">
      <c r="A51" s="971" t="s">
        <v>121</v>
      </c>
      <c r="B51" s="939" t="s">
        <v>146</v>
      </c>
      <c r="C51" s="984">
        <v>3422434</v>
      </c>
      <c r="E51" s="936" t="e">
        <f>#REF!+'9.6.2. sz. mell Kornisné Kp.'!C51+#REF!</f>
        <v>#REF!</v>
      </c>
      <c r="F51" s="936" t="e">
        <f t="shared" si="0"/>
        <v>#REF!</v>
      </c>
    </row>
    <row r="52" spans="1:6" s="932" customFormat="1" ht="12" customHeight="1" thickBot="1" x14ac:dyDescent="0.25">
      <c r="A52" s="946" t="s">
        <v>20</v>
      </c>
      <c r="B52" s="942" t="s">
        <v>353</v>
      </c>
      <c r="C52" s="982">
        <f>SUM(C53:C55)</f>
        <v>20804373</v>
      </c>
      <c r="E52" s="936" t="e">
        <f>#REF!+'9.6.2. sz. mell Kornisné Kp.'!C52+#REF!</f>
        <v>#REF!</v>
      </c>
      <c r="F52" s="936" t="e">
        <f t="shared" si="0"/>
        <v>#REF!</v>
      </c>
    </row>
    <row r="53" spans="1:6" ht="12" customHeight="1" x14ac:dyDescent="0.2">
      <c r="A53" s="971" t="s">
        <v>101</v>
      </c>
      <c r="B53" s="940" t="s">
        <v>163</v>
      </c>
      <c r="C53" s="989">
        <f>13924683+74000+75250+200000+2283220+801000+1524000+132900+13500+1396840+70000</f>
        <v>20495393</v>
      </c>
      <c r="E53" s="936" t="e">
        <f>#REF!+'9.6.2. sz. mell Kornisné Kp.'!C53+#REF!</f>
        <v>#REF!</v>
      </c>
      <c r="F53" s="936" t="e">
        <f t="shared" si="0"/>
        <v>#REF!</v>
      </c>
    </row>
    <row r="54" spans="1:6" ht="12" customHeight="1" x14ac:dyDescent="0.2">
      <c r="A54" s="971" t="s">
        <v>102</v>
      </c>
      <c r="B54" s="939" t="s">
        <v>148</v>
      </c>
      <c r="C54" s="984"/>
      <c r="E54" s="936" t="e">
        <f>#REF!+'9.6.2. sz. mell Kornisné Kp.'!C54+#REF!</f>
        <v>#REF!</v>
      </c>
      <c r="F54" s="936" t="e">
        <f t="shared" si="0"/>
        <v>#REF!</v>
      </c>
    </row>
    <row r="55" spans="1:6" ht="12" customHeight="1" x14ac:dyDescent="0.2">
      <c r="A55" s="971" t="s">
        <v>103</v>
      </c>
      <c r="B55" s="939" t="s">
        <v>59</v>
      </c>
      <c r="C55" s="680">
        <v>308980</v>
      </c>
      <c r="E55" s="936" t="e">
        <f>#REF!+'9.6.2. sz. mell Kornisné Kp.'!C55+#REF!</f>
        <v>#REF!</v>
      </c>
      <c r="F55" s="936" t="e">
        <f t="shared" si="0"/>
        <v>#REF!</v>
      </c>
    </row>
    <row r="56" spans="1:6" ht="15" customHeight="1" thickBot="1" x14ac:dyDescent="0.25">
      <c r="A56" s="971" t="s">
        <v>104</v>
      </c>
      <c r="B56" s="939" t="s">
        <v>523</v>
      </c>
      <c r="C56" s="984">
        <v>308980</v>
      </c>
      <c r="E56" s="936" t="e">
        <f>#REF!+'9.6.2. sz. mell Kornisné Kp.'!C56+#REF!</f>
        <v>#REF!</v>
      </c>
      <c r="F56" s="936" t="e">
        <f t="shared" si="0"/>
        <v>#REF!</v>
      </c>
    </row>
    <row r="57" spans="1:6" ht="13.5" thickBot="1" x14ac:dyDescent="0.25">
      <c r="A57" s="946" t="s">
        <v>21</v>
      </c>
      <c r="B57" s="942" t="s">
        <v>13</v>
      </c>
      <c r="C57" s="988"/>
      <c r="E57" s="936" t="e">
        <f>#REF!+'9.6.2. sz. mell Kornisné Kp.'!C57+#REF!</f>
        <v>#REF!</v>
      </c>
      <c r="F57" s="936" t="e">
        <f t="shared" si="0"/>
        <v>#REF!</v>
      </c>
    </row>
    <row r="58" spans="1:6" ht="15" customHeight="1" thickBot="1" x14ac:dyDescent="0.25">
      <c r="A58" s="946" t="s">
        <v>22</v>
      </c>
      <c r="B58" s="962" t="s">
        <v>524</v>
      </c>
      <c r="C58" s="1000">
        <f>+C46+C52+C57</f>
        <v>865508660</v>
      </c>
      <c r="E58" s="936" t="e">
        <f>#REF!+'9.6.2. sz. mell Kornisné Kp.'!C58+#REF!</f>
        <v>#REF!</v>
      </c>
      <c r="F58" s="936" t="e">
        <f t="shared" si="0"/>
        <v>#REF!</v>
      </c>
    </row>
    <row r="59" spans="1:6" ht="14.25" customHeight="1" thickBot="1" x14ac:dyDescent="0.25">
      <c r="C59" s="996"/>
      <c r="E59" s="936" t="e">
        <f>#REF!+'9.6.2. sz. mell Kornisné Kp.'!C59+#REF!</f>
        <v>#REF!</v>
      </c>
      <c r="F59" s="936" t="e">
        <f t="shared" si="0"/>
        <v>#REF!</v>
      </c>
    </row>
    <row r="60" spans="1:6" ht="13.5" thickBot="1" x14ac:dyDescent="0.25">
      <c r="A60" s="963" t="s">
        <v>836</v>
      </c>
      <c r="B60" s="964"/>
      <c r="C60" s="997">
        <v>149.37</v>
      </c>
      <c r="E60" s="936" t="e">
        <f>#REF!+'9.6.2. sz. mell Kornisné Kp.'!C60+#REF!</f>
        <v>#REF!</v>
      </c>
      <c r="F60" s="936" t="e">
        <f t="shared" si="0"/>
        <v>#REF!</v>
      </c>
    </row>
    <row r="61" spans="1:6" s="382" customFormat="1" ht="13.9" customHeight="1" thickBot="1" x14ac:dyDescent="0.25">
      <c r="A61" s="690" t="s">
        <v>689</v>
      </c>
      <c r="B61" s="689"/>
      <c r="C61" s="1050">
        <v>0.5</v>
      </c>
      <c r="E61" s="936"/>
      <c r="F61" s="936"/>
    </row>
    <row r="62" spans="1:6" s="382" customFormat="1" ht="13.9" customHeight="1" thickBot="1" x14ac:dyDescent="0.25">
      <c r="A62" s="1198" t="s">
        <v>582</v>
      </c>
      <c r="B62" s="1199"/>
      <c r="C62" s="1051">
        <v>4</v>
      </c>
      <c r="E62" s="936" t="e">
        <f>#REF!+'9.6.2. sz. mell Kornisné Kp.'!C62+#REF!</f>
        <v>#REF!</v>
      </c>
      <c r="F62" s="936" t="e">
        <f t="shared" si="0"/>
        <v>#REF!</v>
      </c>
    </row>
    <row r="63" spans="1:6" s="1080" customFormat="1" ht="13.9" customHeight="1" thickBot="1" x14ac:dyDescent="0.25">
      <c r="A63" s="1204" t="s">
        <v>835</v>
      </c>
      <c r="B63" s="1205"/>
      <c r="C63" s="1079">
        <v>0.67</v>
      </c>
      <c r="E63" s="1081"/>
      <c r="F63" s="1081"/>
    </row>
    <row r="64" spans="1:6" s="382" customFormat="1" ht="19.899999999999999" customHeight="1" thickBot="1" x14ac:dyDescent="0.25">
      <c r="A64" s="1200" t="s">
        <v>580</v>
      </c>
      <c r="B64" s="1201"/>
      <c r="C64" s="1052">
        <v>1.5</v>
      </c>
      <c r="E64" s="936" t="e">
        <f>#REF!+'9.6.2. sz. mell Kornisné Kp.'!C63+#REF!</f>
        <v>#REF!</v>
      </c>
      <c r="F64" s="936" t="e">
        <f t="shared" si="0"/>
        <v>#REF!</v>
      </c>
    </row>
    <row r="65" spans="1:3" ht="13.5" thickBot="1" x14ac:dyDescent="0.25">
      <c r="A65" s="1202" t="s">
        <v>690</v>
      </c>
      <c r="B65" s="1203"/>
      <c r="C65" s="1052">
        <v>55</v>
      </c>
    </row>
  </sheetData>
  <sheetProtection formatCells="0"/>
  <mergeCells count="4">
    <mergeCell ref="A62:B62"/>
    <mergeCell ref="A64:B64"/>
    <mergeCell ref="A65:B65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4/2020.(II.28.)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view="pageLayout" zoomScaleNormal="145" workbookViewId="0">
      <selection activeCell="B1" sqref="B1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9.5" style="106" bestFit="1" customWidth="1"/>
    <col min="5" max="5" width="10.83203125" style="106" bestFit="1" customWidth="1"/>
    <col min="6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5" style="106" bestFit="1" customWidth="1"/>
    <col min="261" max="261" width="10.83203125" style="106" bestFit="1" customWidth="1"/>
    <col min="262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5" style="106" bestFit="1" customWidth="1"/>
    <col min="517" max="517" width="10.83203125" style="106" bestFit="1" customWidth="1"/>
    <col min="518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5" style="106" bestFit="1" customWidth="1"/>
    <col min="773" max="773" width="10.83203125" style="106" bestFit="1" customWidth="1"/>
    <col min="774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5" style="106" bestFit="1" customWidth="1"/>
    <col min="1029" max="1029" width="10.83203125" style="106" bestFit="1" customWidth="1"/>
    <col min="1030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5" style="106" bestFit="1" customWidth="1"/>
    <col min="1285" max="1285" width="10.83203125" style="106" bestFit="1" customWidth="1"/>
    <col min="1286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5" style="106" bestFit="1" customWidth="1"/>
    <col min="1541" max="1541" width="10.83203125" style="106" bestFit="1" customWidth="1"/>
    <col min="1542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5" style="106" bestFit="1" customWidth="1"/>
    <col min="1797" max="1797" width="10.83203125" style="106" bestFit="1" customWidth="1"/>
    <col min="1798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5" style="106" bestFit="1" customWidth="1"/>
    <col min="2053" max="2053" width="10.83203125" style="106" bestFit="1" customWidth="1"/>
    <col min="2054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5" style="106" bestFit="1" customWidth="1"/>
    <col min="2309" max="2309" width="10.83203125" style="106" bestFit="1" customWidth="1"/>
    <col min="2310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5" style="106" bestFit="1" customWidth="1"/>
    <col min="2565" max="2565" width="10.83203125" style="106" bestFit="1" customWidth="1"/>
    <col min="2566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5" style="106" bestFit="1" customWidth="1"/>
    <col min="2821" max="2821" width="10.83203125" style="106" bestFit="1" customWidth="1"/>
    <col min="2822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5" style="106" bestFit="1" customWidth="1"/>
    <col min="3077" max="3077" width="10.83203125" style="106" bestFit="1" customWidth="1"/>
    <col min="3078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5" style="106" bestFit="1" customWidth="1"/>
    <col min="3333" max="3333" width="10.83203125" style="106" bestFit="1" customWidth="1"/>
    <col min="3334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5" style="106" bestFit="1" customWidth="1"/>
    <col min="3589" max="3589" width="10.83203125" style="106" bestFit="1" customWidth="1"/>
    <col min="3590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5" style="106" bestFit="1" customWidth="1"/>
    <col min="3845" max="3845" width="10.83203125" style="106" bestFit="1" customWidth="1"/>
    <col min="3846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5" style="106" bestFit="1" customWidth="1"/>
    <col min="4101" max="4101" width="10.83203125" style="106" bestFit="1" customWidth="1"/>
    <col min="4102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5" style="106" bestFit="1" customWidth="1"/>
    <col min="4357" max="4357" width="10.83203125" style="106" bestFit="1" customWidth="1"/>
    <col min="4358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5" style="106" bestFit="1" customWidth="1"/>
    <col min="4613" max="4613" width="10.83203125" style="106" bestFit="1" customWidth="1"/>
    <col min="4614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5" style="106" bestFit="1" customWidth="1"/>
    <col min="4869" max="4869" width="10.83203125" style="106" bestFit="1" customWidth="1"/>
    <col min="4870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5" style="106" bestFit="1" customWidth="1"/>
    <col min="5125" max="5125" width="10.83203125" style="106" bestFit="1" customWidth="1"/>
    <col min="5126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5" style="106" bestFit="1" customWidth="1"/>
    <col min="5381" max="5381" width="10.83203125" style="106" bestFit="1" customWidth="1"/>
    <col min="5382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5" style="106" bestFit="1" customWidth="1"/>
    <col min="5637" max="5637" width="10.83203125" style="106" bestFit="1" customWidth="1"/>
    <col min="5638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5" style="106" bestFit="1" customWidth="1"/>
    <col min="5893" max="5893" width="10.83203125" style="106" bestFit="1" customWidth="1"/>
    <col min="5894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5" style="106" bestFit="1" customWidth="1"/>
    <col min="6149" max="6149" width="10.83203125" style="106" bestFit="1" customWidth="1"/>
    <col min="6150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5" style="106" bestFit="1" customWidth="1"/>
    <col min="6405" max="6405" width="10.83203125" style="106" bestFit="1" customWidth="1"/>
    <col min="6406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5" style="106" bestFit="1" customWidth="1"/>
    <col min="6661" max="6661" width="10.83203125" style="106" bestFit="1" customWidth="1"/>
    <col min="6662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5" style="106" bestFit="1" customWidth="1"/>
    <col min="6917" max="6917" width="10.83203125" style="106" bestFit="1" customWidth="1"/>
    <col min="6918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5" style="106" bestFit="1" customWidth="1"/>
    <col min="7173" max="7173" width="10.83203125" style="106" bestFit="1" customWidth="1"/>
    <col min="7174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5" style="106" bestFit="1" customWidth="1"/>
    <col min="7429" max="7429" width="10.83203125" style="106" bestFit="1" customWidth="1"/>
    <col min="7430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5" style="106" bestFit="1" customWidth="1"/>
    <col min="7685" max="7685" width="10.83203125" style="106" bestFit="1" customWidth="1"/>
    <col min="7686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5" style="106" bestFit="1" customWidth="1"/>
    <col min="7941" max="7941" width="10.83203125" style="106" bestFit="1" customWidth="1"/>
    <col min="7942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5" style="106" bestFit="1" customWidth="1"/>
    <col min="8197" max="8197" width="10.83203125" style="106" bestFit="1" customWidth="1"/>
    <col min="8198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5" style="106" bestFit="1" customWidth="1"/>
    <col min="8453" max="8453" width="10.83203125" style="106" bestFit="1" customWidth="1"/>
    <col min="8454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5" style="106" bestFit="1" customWidth="1"/>
    <col min="8709" max="8709" width="10.83203125" style="106" bestFit="1" customWidth="1"/>
    <col min="8710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5" style="106" bestFit="1" customWidth="1"/>
    <col min="8965" max="8965" width="10.83203125" style="106" bestFit="1" customWidth="1"/>
    <col min="8966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5" style="106" bestFit="1" customWidth="1"/>
    <col min="9221" max="9221" width="10.83203125" style="106" bestFit="1" customWidth="1"/>
    <col min="9222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5" style="106" bestFit="1" customWidth="1"/>
    <col min="9477" max="9477" width="10.83203125" style="106" bestFit="1" customWidth="1"/>
    <col min="9478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5" style="106" bestFit="1" customWidth="1"/>
    <col min="9733" max="9733" width="10.83203125" style="106" bestFit="1" customWidth="1"/>
    <col min="9734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5" style="106" bestFit="1" customWidth="1"/>
    <col min="9989" max="9989" width="10.83203125" style="106" bestFit="1" customWidth="1"/>
    <col min="9990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5" style="106" bestFit="1" customWidth="1"/>
    <col min="10245" max="10245" width="10.83203125" style="106" bestFit="1" customWidth="1"/>
    <col min="10246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5" style="106" bestFit="1" customWidth="1"/>
    <col min="10501" max="10501" width="10.83203125" style="106" bestFit="1" customWidth="1"/>
    <col min="10502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5" style="106" bestFit="1" customWidth="1"/>
    <col min="10757" max="10757" width="10.83203125" style="106" bestFit="1" customWidth="1"/>
    <col min="10758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5" style="106" bestFit="1" customWidth="1"/>
    <col min="11013" max="11013" width="10.83203125" style="106" bestFit="1" customWidth="1"/>
    <col min="11014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5" style="106" bestFit="1" customWidth="1"/>
    <col min="11269" max="11269" width="10.83203125" style="106" bestFit="1" customWidth="1"/>
    <col min="11270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5" style="106" bestFit="1" customWidth="1"/>
    <col min="11525" max="11525" width="10.83203125" style="106" bestFit="1" customWidth="1"/>
    <col min="11526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5" style="106" bestFit="1" customWidth="1"/>
    <col min="11781" max="11781" width="10.83203125" style="106" bestFit="1" customWidth="1"/>
    <col min="11782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5" style="106" bestFit="1" customWidth="1"/>
    <col min="12037" max="12037" width="10.83203125" style="106" bestFit="1" customWidth="1"/>
    <col min="12038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5" style="106" bestFit="1" customWidth="1"/>
    <col min="12293" max="12293" width="10.83203125" style="106" bestFit="1" customWidth="1"/>
    <col min="12294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5" style="106" bestFit="1" customWidth="1"/>
    <col min="12549" max="12549" width="10.83203125" style="106" bestFit="1" customWidth="1"/>
    <col min="12550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5" style="106" bestFit="1" customWidth="1"/>
    <col min="12805" max="12805" width="10.83203125" style="106" bestFit="1" customWidth="1"/>
    <col min="12806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5" style="106" bestFit="1" customWidth="1"/>
    <col min="13061" max="13061" width="10.83203125" style="106" bestFit="1" customWidth="1"/>
    <col min="13062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5" style="106" bestFit="1" customWidth="1"/>
    <col min="13317" max="13317" width="10.83203125" style="106" bestFit="1" customWidth="1"/>
    <col min="13318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5" style="106" bestFit="1" customWidth="1"/>
    <col min="13573" max="13573" width="10.83203125" style="106" bestFit="1" customWidth="1"/>
    <col min="13574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5" style="106" bestFit="1" customWidth="1"/>
    <col min="13829" max="13829" width="10.83203125" style="106" bestFit="1" customWidth="1"/>
    <col min="13830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5" style="106" bestFit="1" customWidth="1"/>
    <col min="14085" max="14085" width="10.83203125" style="106" bestFit="1" customWidth="1"/>
    <col min="14086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5" style="106" bestFit="1" customWidth="1"/>
    <col min="14341" max="14341" width="10.83203125" style="106" bestFit="1" customWidth="1"/>
    <col min="14342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5" style="106" bestFit="1" customWidth="1"/>
    <col min="14597" max="14597" width="10.83203125" style="106" bestFit="1" customWidth="1"/>
    <col min="14598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5" style="106" bestFit="1" customWidth="1"/>
    <col min="14853" max="14853" width="10.83203125" style="106" bestFit="1" customWidth="1"/>
    <col min="14854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5" style="106" bestFit="1" customWidth="1"/>
    <col min="15109" max="15109" width="10.83203125" style="106" bestFit="1" customWidth="1"/>
    <col min="15110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5" style="106" bestFit="1" customWidth="1"/>
    <col min="15365" max="15365" width="10.83203125" style="106" bestFit="1" customWidth="1"/>
    <col min="15366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5" style="106" bestFit="1" customWidth="1"/>
    <col min="15621" max="15621" width="10.83203125" style="106" bestFit="1" customWidth="1"/>
    <col min="15622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5" style="106" bestFit="1" customWidth="1"/>
    <col min="15877" max="15877" width="10.83203125" style="106" bestFit="1" customWidth="1"/>
    <col min="15878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5" style="106" bestFit="1" customWidth="1"/>
    <col min="16133" max="16133" width="10.83203125" style="106" bestFit="1" customWidth="1"/>
    <col min="16134" max="16384" width="9.33203125" style="106"/>
  </cols>
  <sheetData>
    <row r="1" spans="1:3" s="926" customFormat="1" ht="21" customHeight="1" thickBot="1" x14ac:dyDescent="0.25">
      <c r="A1" s="947"/>
      <c r="B1" s="948"/>
      <c r="C1" s="975"/>
    </row>
    <row r="2" spans="1:3" s="928" customFormat="1" ht="34.5" customHeight="1" x14ac:dyDescent="0.2">
      <c r="A2" s="967" t="s">
        <v>158</v>
      </c>
      <c r="B2" s="965" t="s">
        <v>545</v>
      </c>
      <c r="C2" s="976" t="s">
        <v>62</v>
      </c>
    </row>
    <row r="3" spans="1:3" s="928" customFormat="1" ht="24.75" thickBot="1" x14ac:dyDescent="0.25">
      <c r="A3" s="969" t="s">
        <v>157</v>
      </c>
      <c r="B3" s="966" t="s">
        <v>355</v>
      </c>
      <c r="C3" s="977" t="s">
        <v>62</v>
      </c>
    </row>
    <row r="4" spans="1:3" s="929" customFormat="1" ht="15.95" customHeight="1" thickBot="1" x14ac:dyDescent="0.3">
      <c r="A4" s="949"/>
      <c r="B4" s="949"/>
      <c r="C4" s="978" t="s">
        <v>553</v>
      </c>
    </row>
    <row r="5" spans="1:3" ht="13.5" thickBot="1" x14ac:dyDescent="0.25">
      <c r="A5" s="968" t="s">
        <v>159</v>
      </c>
      <c r="B5" s="950" t="s">
        <v>55</v>
      </c>
      <c r="C5" s="979" t="s">
        <v>56</v>
      </c>
    </row>
    <row r="6" spans="1:3" s="930" customFormat="1" ht="12.95" customHeight="1" thickBot="1" x14ac:dyDescent="0.25">
      <c r="A6" s="944" t="s">
        <v>443</v>
      </c>
      <c r="B6" s="945" t="s">
        <v>444</v>
      </c>
      <c r="C6" s="980" t="s">
        <v>445</v>
      </c>
    </row>
    <row r="7" spans="1:3" s="930" customFormat="1" ht="15.95" customHeight="1" thickBot="1" x14ac:dyDescent="0.25">
      <c r="A7" s="951"/>
      <c r="B7" s="952" t="s">
        <v>57</v>
      </c>
      <c r="C7" s="981"/>
    </row>
    <row r="8" spans="1:3" s="927" customFormat="1" ht="12" customHeight="1" thickBot="1" x14ac:dyDescent="0.25">
      <c r="A8" s="944" t="s">
        <v>19</v>
      </c>
      <c r="B8" s="953" t="s">
        <v>519</v>
      </c>
      <c r="C8" s="998">
        <f>SUM(C9:C19)</f>
        <v>169243254</v>
      </c>
    </row>
    <row r="9" spans="1:3" s="927" customFormat="1" ht="12" customHeight="1" x14ac:dyDescent="0.2">
      <c r="A9" s="970" t="s">
        <v>95</v>
      </c>
      <c r="B9" s="941" t="s">
        <v>212</v>
      </c>
      <c r="C9" s="761">
        <v>132900</v>
      </c>
    </row>
    <row r="10" spans="1:3" s="927" customFormat="1" ht="12" customHeight="1" x14ac:dyDescent="0.2">
      <c r="A10" s="971" t="s">
        <v>96</v>
      </c>
      <c r="B10" s="939" t="s">
        <v>213</v>
      </c>
      <c r="C10" s="984">
        <f>1000000+75250</f>
        <v>1075250</v>
      </c>
    </row>
    <row r="11" spans="1:3" s="927" customFormat="1" ht="12" customHeight="1" x14ac:dyDescent="0.2">
      <c r="A11" s="971" t="s">
        <v>97</v>
      </c>
      <c r="B11" s="939" t="s">
        <v>214</v>
      </c>
      <c r="C11" s="1018">
        <f>12700000-5000000</f>
        <v>7700000</v>
      </c>
    </row>
    <row r="12" spans="1:3" s="927" customFormat="1" ht="12" customHeight="1" x14ac:dyDescent="0.2">
      <c r="A12" s="971" t="s">
        <v>98</v>
      </c>
      <c r="B12" s="939" t="s">
        <v>215</v>
      </c>
      <c r="C12" s="984"/>
    </row>
    <row r="13" spans="1:3" s="927" customFormat="1" ht="12" customHeight="1" x14ac:dyDescent="0.2">
      <c r="A13" s="971" t="s">
        <v>121</v>
      </c>
      <c r="B13" s="939" t="s">
        <v>216</v>
      </c>
      <c r="C13" s="1018">
        <f>152500000+13816000-7300000</f>
        <v>159016000</v>
      </c>
    </row>
    <row r="14" spans="1:3" s="927" customFormat="1" ht="12" customHeight="1" x14ac:dyDescent="0.2">
      <c r="A14" s="971" t="s">
        <v>99</v>
      </c>
      <c r="B14" s="939" t="s">
        <v>337</v>
      </c>
      <c r="C14" s="1018">
        <f>1771650-1100000</f>
        <v>671650</v>
      </c>
    </row>
    <row r="15" spans="1:3" s="927" customFormat="1" ht="12" customHeight="1" x14ac:dyDescent="0.2">
      <c r="A15" s="971" t="s">
        <v>100</v>
      </c>
      <c r="B15" s="938" t="s">
        <v>338</v>
      </c>
      <c r="C15" s="984"/>
    </row>
    <row r="16" spans="1:3" s="927" customFormat="1" ht="12" customHeight="1" x14ac:dyDescent="0.2">
      <c r="A16" s="971" t="s">
        <v>110</v>
      </c>
      <c r="B16" s="939" t="s">
        <v>219</v>
      </c>
      <c r="C16" s="985"/>
    </row>
    <row r="17" spans="1:3" s="931" customFormat="1" ht="12" customHeight="1" x14ac:dyDescent="0.2">
      <c r="A17" s="971" t="s">
        <v>111</v>
      </c>
      <c r="B17" s="939" t="s">
        <v>220</v>
      </c>
      <c r="C17" s="984"/>
    </row>
    <row r="18" spans="1:3" s="931" customFormat="1" ht="12" customHeight="1" x14ac:dyDescent="0.2">
      <c r="A18" s="971" t="s">
        <v>112</v>
      </c>
      <c r="B18" s="939" t="s">
        <v>449</v>
      </c>
      <c r="C18" s="986"/>
    </row>
    <row r="19" spans="1:3" s="931" customFormat="1" ht="12" customHeight="1" thickBot="1" x14ac:dyDescent="0.25">
      <c r="A19" s="971" t="s">
        <v>113</v>
      </c>
      <c r="B19" s="938" t="s">
        <v>221</v>
      </c>
      <c r="C19" s="986">
        <v>647454</v>
      </c>
    </row>
    <row r="20" spans="1:3" s="927" customFormat="1" ht="12" customHeight="1" thickBot="1" x14ac:dyDescent="0.25">
      <c r="A20" s="944" t="s">
        <v>20</v>
      </c>
      <c r="B20" s="953" t="s">
        <v>339</v>
      </c>
      <c r="C20" s="982">
        <f>SUM(C21:C23)</f>
        <v>82654427</v>
      </c>
    </row>
    <row r="21" spans="1:3" s="931" customFormat="1" ht="12" customHeight="1" x14ac:dyDescent="0.2">
      <c r="A21" s="971" t="s">
        <v>101</v>
      </c>
      <c r="B21" s="940" t="s">
        <v>190</v>
      </c>
      <c r="C21" s="987"/>
    </row>
    <row r="22" spans="1:3" s="931" customFormat="1" ht="12" customHeight="1" x14ac:dyDescent="0.2">
      <c r="A22" s="971" t="s">
        <v>102</v>
      </c>
      <c r="B22" s="939" t="s">
        <v>340</v>
      </c>
      <c r="C22" s="984"/>
    </row>
    <row r="23" spans="1:3" s="931" customFormat="1" ht="12" customHeight="1" x14ac:dyDescent="0.2">
      <c r="A23" s="971" t="s">
        <v>103</v>
      </c>
      <c r="B23" s="939" t="s">
        <v>341</v>
      </c>
      <c r="C23" s="1018">
        <f>22754943+1659858+68521580-10878000+211500+384546</f>
        <v>82654427</v>
      </c>
    </row>
    <row r="24" spans="1:3" s="931" customFormat="1" ht="12" customHeight="1" thickBot="1" x14ac:dyDescent="0.25">
      <c r="A24" s="971" t="s">
        <v>104</v>
      </c>
      <c r="B24" s="939" t="s">
        <v>520</v>
      </c>
      <c r="C24" s="1018">
        <f>754943+1659858+68521580+211500+384546</f>
        <v>71532427</v>
      </c>
    </row>
    <row r="25" spans="1:3" s="931" customFormat="1" ht="12" customHeight="1" thickBot="1" x14ac:dyDescent="0.25">
      <c r="A25" s="946" t="s">
        <v>21</v>
      </c>
      <c r="B25" s="942" t="s">
        <v>135</v>
      </c>
      <c r="C25" s="988"/>
    </row>
    <row r="26" spans="1:3" s="931" customFormat="1" ht="12" customHeight="1" thickBot="1" x14ac:dyDescent="0.25">
      <c r="A26" s="946" t="s">
        <v>22</v>
      </c>
      <c r="B26" s="942" t="s">
        <v>521</v>
      </c>
      <c r="C26" s="982">
        <f>+C27+C28+C29</f>
        <v>14325200</v>
      </c>
    </row>
    <row r="27" spans="1:3" s="931" customFormat="1" ht="12" customHeight="1" x14ac:dyDescent="0.2">
      <c r="A27" s="972" t="s">
        <v>200</v>
      </c>
      <c r="B27" s="973" t="s">
        <v>195</v>
      </c>
      <c r="C27" s="989"/>
    </row>
    <row r="28" spans="1:3" s="931" customFormat="1" ht="12" customHeight="1" x14ac:dyDescent="0.2">
      <c r="A28" s="972" t="s">
        <v>203</v>
      </c>
      <c r="B28" s="973" t="s">
        <v>340</v>
      </c>
      <c r="C28" s="987"/>
    </row>
    <row r="29" spans="1:3" s="931" customFormat="1" ht="12" customHeight="1" x14ac:dyDescent="0.2">
      <c r="A29" s="972" t="s">
        <v>204</v>
      </c>
      <c r="B29" s="974" t="s">
        <v>342</v>
      </c>
      <c r="C29" s="984">
        <f>1092200+13233000</f>
        <v>14325200</v>
      </c>
    </row>
    <row r="30" spans="1:3" s="931" customFormat="1" ht="12" customHeight="1" thickBot="1" x14ac:dyDescent="0.25">
      <c r="A30" s="971" t="s">
        <v>205</v>
      </c>
      <c r="B30" s="943" t="s">
        <v>522</v>
      </c>
      <c r="C30" s="990">
        <v>1092200</v>
      </c>
    </row>
    <row r="31" spans="1:3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</row>
    <row r="32" spans="1:3" s="931" customFormat="1" ht="12" customHeight="1" x14ac:dyDescent="0.2">
      <c r="A32" s="972" t="s">
        <v>88</v>
      </c>
      <c r="B32" s="973" t="s">
        <v>226</v>
      </c>
      <c r="C32" s="989"/>
    </row>
    <row r="33" spans="1:3" s="931" customFormat="1" ht="12" customHeight="1" x14ac:dyDescent="0.2">
      <c r="A33" s="972" t="s">
        <v>89</v>
      </c>
      <c r="B33" s="974" t="s">
        <v>227</v>
      </c>
      <c r="C33" s="985"/>
    </row>
    <row r="34" spans="1:3" s="927" customFormat="1" ht="12" customHeight="1" thickBot="1" x14ac:dyDescent="0.25">
      <c r="A34" s="971" t="s">
        <v>90</v>
      </c>
      <c r="B34" s="943" t="s">
        <v>228</v>
      </c>
      <c r="C34" s="990"/>
    </row>
    <row r="35" spans="1:3" s="927" customFormat="1" ht="12" customHeight="1" thickBot="1" x14ac:dyDescent="0.25">
      <c r="A35" s="946" t="s">
        <v>24</v>
      </c>
      <c r="B35" s="942" t="s">
        <v>314</v>
      </c>
      <c r="C35" s="988"/>
    </row>
    <row r="36" spans="1:3" s="927" customFormat="1" ht="12" customHeight="1" thickBot="1" x14ac:dyDescent="0.25">
      <c r="A36" s="946" t="s">
        <v>25</v>
      </c>
      <c r="B36" s="942" t="s">
        <v>344</v>
      </c>
      <c r="C36" s="991"/>
    </row>
    <row r="37" spans="1:3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266222881</v>
      </c>
    </row>
    <row r="38" spans="1:3" s="927" customFormat="1" ht="12" customHeight="1" thickBot="1" x14ac:dyDescent="0.25">
      <c r="A38" s="954" t="s">
        <v>27</v>
      </c>
      <c r="B38" s="942" t="s">
        <v>346</v>
      </c>
      <c r="C38" s="999">
        <f>+C39+C40+C41</f>
        <v>421854448</v>
      </c>
    </row>
    <row r="39" spans="1:3" s="927" customFormat="1" ht="12" customHeight="1" x14ac:dyDescent="0.2">
      <c r="A39" s="972" t="s">
        <v>347</v>
      </c>
      <c r="B39" s="973" t="s">
        <v>172</v>
      </c>
      <c r="C39" s="989">
        <v>9446650</v>
      </c>
    </row>
    <row r="40" spans="1:3" s="931" customFormat="1" ht="12" customHeight="1" x14ac:dyDescent="0.2">
      <c r="A40" s="972" t="s">
        <v>348</v>
      </c>
      <c r="B40" s="974" t="s">
        <v>10</v>
      </c>
      <c r="C40" s="985"/>
    </row>
    <row r="41" spans="1:3" s="931" customFormat="1" ht="15" customHeight="1" thickBot="1" x14ac:dyDescent="0.25">
      <c r="A41" s="971" t="s">
        <v>349</v>
      </c>
      <c r="B41" s="943" t="s">
        <v>350</v>
      </c>
      <c r="C41" s="1028">
        <f>403298819+95600+95600-10781162+200000+202200-2705481+876565+458250+801000+600000+1524000+2800000+13500+1528907+13400000</f>
        <v>412407798</v>
      </c>
    </row>
    <row r="42" spans="1:3" s="931" customFormat="1" ht="15" customHeight="1" thickBot="1" x14ac:dyDescent="0.25">
      <c r="A42" s="954" t="s">
        <v>28</v>
      </c>
      <c r="B42" s="955" t="s">
        <v>351</v>
      </c>
      <c r="C42" s="999">
        <f>+C37+C38</f>
        <v>688077329</v>
      </c>
    </row>
    <row r="43" spans="1:3" x14ac:dyDescent="0.2">
      <c r="A43" s="956"/>
      <c r="B43" s="957"/>
      <c r="C43" s="994"/>
    </row>
    <row r="44" spans="1:3" s="930" customFormat="1" ht="16.5" customHeight="1" thickBot="1" x14ac:dyDescent="0.25">
      <c r="A44" s="958"/>
      <c r="B44" s="959"/>
      <c r="C44" s="995"/>
    </row>
    <row r="45" spans="1:3" s="932" customFormat="1" ht="12" customHeight="1" thickBot="1" x14ac:dyDescent="0.25">
      <c r="A45" s="960"/>
      <c r="B45" s="961" t="s">
        <v>58</v>
      </c>
      <c r="C45" s="993"/>
    </row>
    <row r="46" spans="1:3" ht="12" customHeight="1" thickBot="1" x14ac:dyDescent="0.25">
      <c r="A46" s="946" t="s">
        <v>19</v>
      </c>
      <c r="B46" s="942" t="s">
        <v>352</v>
      </c>
      <c r="C46" s="998">
        <f>SUM(C47:C51)</f>
        <v>669349441</v>
      </c>
    </row>
    <row r="47" spans="1:3" ht="12" customHeight="1" x14ac:dyDescent="0.2">
      <c r="A47" s="971" t="s">
        <v>95</v>
      </c>
      <c r="B47" s="940" t="s">
        <v>49</v>
      </c>
      <c r="C47" s="1017">
        <f>344559877+80000+80000+1389000+19685+49983852+746013-1755000+390000+180000+159700+327273</f>
        <v>396160400</v>
      </c>
    </row>
    <row r="48" spans="1:3" ht="12" customHeight="1" x14ac:dyDescent="0.2">
      <c r="A48" s="971" t="s">
        <v>96</v>
      </c>
      <c r="B48" s="939" t="s">
        <v>144</v>
      </c>
      <c r="C48" s="1018">
        <f>72138727+15600+15600+270858+13320738-2705481+130552-342225+68250+31500+27948+57273</f>
        <v>83029340</v>
      </c>
    </row>
    <row r="49" spans="1:5" ht="12" customHeight="1" x14ac:dyDescent="0.2">
      <c r="A49" s="971" t="s">
        <v>97</v>
      </c>
      <c r="B49" s="939" t="s">
        <v>120</v>
      </c>
      <c r="C49" s="1018">
        <f>174593657+3292441-19685+202200+2649556+2097225+647454+600000-187648+2800000+132067-70000</f>
        <v>186737267</v>
      </c>
    </row>
    <row r="50" spans="1:5" ht="12" customHeight="1" x14ac:dyDescent="0.2">
      <c r="A50" s="971" t="s">
        <v>98</v>
      </c>
      <c r="B50" s="939" t="s">
        <v>145</v>
      </c>
      <c r="C50" s="984"/>
    </row>
    <row r="51" spans="1:5" ht="12" customHeight="1" thickBot="1" x14ac:dyDescent="0.25">
      <c r="A51" s="971" t="s">
        <v>121</v>
      </c>
      <c r="B51" s="939" t="s">
        <v>146</v>
      </c>
      <c r="C51" s="984">
        <v>3422434</v>
      </c>
    </row>
    <row r="52" spans="1:5" s="932" customFormat="1" ht="12" customHeight="1" thickBot="1" x14ac:dyDescent="0.25">
      <c r="A52" s="946" t="s">
        <v>20</v>
      </c>
      <c r="B52" s="942" t="s">
        <v>353</v>
      </c>
      <c r="C52" s="982">
        <f>SUM(C53:C55)</f>
        <v>19923009</v>
      </c>
    </row>
    <row r="53" spans="1:5" ht="12" customHeight="1" x14ac:dyDescent="0.2">
      <c r="A53" s="971" t="s">
        <v>101</v>
      </c>
      <c r="B53" s="940" t="s">
        <v>163</v>
      </c>
      <c r="C53" s="1017">
        <f>13117319+75250+200000+2283220+801000+1524000+132900+70000+13500+1396840</f>
        <v>19614029</v>
      </c>
    </row>
    <row r="54" spans="1:5" ht="12" customHeight="1" x14ac:dyDescent="0.2">
      <c r="A54" s="971" t="s">
        <v>102</v>
      </c>
      <c r="B54" s="939" t="s">
        <v>148</v>
      </c>
      <c r="C54" s="984"/>
    </row>
    <row r="55" spans="1:5" ht="12" customHeight="1" x14ac:dyDescent="0.2">
      <c r="A55" s="971" t="s">
        <v>103</v>
      </c>
      <c r="B55" s="939" t="s">
        <v>59</v>
      </c>
      <c r="C55" s="984">
        <v>308980</v>
      </c>
    </row>
    <row r="56" spans="1:5" ht="15" customHeight="1" thickBot="1" x14ac:dyDescent="0.25">
      <c r="A56" s="971" t="s">
        <v>104</v>
      </c>
      <c r="B56" s="939" t="s">
        <v>523</v>
      </c>
      <c r="C56" s="984">
        <v>308980</v>
      </c>
    </row>
    <row r="57" spans="1:5" ht="13.5" thickBot="1" x14ac:dyDescent="0.25">
      <c r="A57" s="946" t="s">
        <v>21</v>
      </c>
      <c r="B57" s="942" t="s">
        <v>13</v>
      </c>
      <c r="C57" s="988"/>
      <c r="D57" s="773"/>
      <c r="E57" s="773"/>
    </row>
    <row r="58" spans="1:5" ht="15" customHeight="1" thickBot="1" x14ac:dyDescent="0.25">
      <c r="A58" s="946" t="s">
        <v>22</v>
      </c>
      <c r="B58" s="962" t="s">
        <v>524</v>
      </c>
      <c r="C58" s="1000">
        <f>+C46+C52+C57</f>
        <v>689272450</v>
      </c>
    </row>
    <row r="59" spans="1:5" ht="14.25" customHeight="1" thickBot="1" x14ac:dyDescent="0.25">
      <c r="C59" s="996"/>
    </row>
    <row r="60" spans="1:5" ht="13.5" thickBot="1" x14ac:dyDescent="0.25">
      <c r="A60" s="963" t="s">
        <v>517</v>
      </c>
      <c r="B60" s="964"/>
      <c r="C60" s="997">
        <v>109</v>
      </c>
    </row>
    <row r="61" spans="1:5" ht="13.5" thickBot="1" x14ac:dyDescent="0.25">
      <c r="A61" s="690" t="s">
        <v>689</v>
      </c>
      <c r="B61" s="689"/>
      <c r="C61" s="903">
        <v>0.5</v>
      </c>
    </row>
    <row r="62" spans="1:5" s="382" customFormat="1" ht="13.9" customHeight="1" thickBot="1" x14ac:dyDescent="0.25">
      <c r="A62" s="1198" t="s">
        <v>582</v>
      </c>
      <c r="B62" s="1199"/>
      <c r="C62" s="904">
        <v>4</v>
      </c>
    </row>
    <row r="63" spans="1:5" s="382" customFormat="1" ht="13.5" thickBot="1" x14ac:dyDescent="0.25">
      <c r="A63" s="1200" t="s">
        <v>580</v>
      </c>
      <c r="B63" s="1201"/>
      <c r="C63" s="905">
        <v>1.5</v>
      </c>
    </row>
    <row r="64" spans="1:5" ht="13.5" thickBot="1" x14ac:dyDescent="0.25">
      <c r="A64" s="1202" t="s">
        <v>690</v>
      </c>
      <c r="B64" s="1203"/>
      <c r="C64" s="90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4/2020.(II.28.)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63"/>
  <sheetViews>
    <sheetView view="pageLayout" zoomScaleNormal="130" workbookViewId="0">
      <selection activeCell="H25" sqref="H25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4" width="0" style="106" hidden="1" customWidth="1"/>
    <col min="5" max="5" width="11.83203125" style="933" hidden="1" customWidth="1"/>
    <col min="6" max="6" width="12.5" style="933" hidden="1" customWidth="1"/>
    <col min="7" max="7" width="0" style="106" hidden="1" customWidth="1"/>
    <col min="8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260" width="9.33203125" style="106"/>
    <col min="261" max="262" width="0" style="106" hidden="1" customWidth="1"/>
    <col min="263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516" width="9.33203125" style="106"/>
    <col min="517" max="518" width="0" style="106" hidden="1" customWidth="1"/>
    <col min="519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772" width="9.33203125" style="106"/>
    <col min="773" max="774" width="0" style="106" hidden="1" customWidth="1"/>
    <col min="775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028" width="9.33203125" style="106"/>
    <col min="1029" max="1030" width="0" style="106" hidden="1" customWidth="1"/>
    <col min="1031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284" width="9.33203125" style="106"/>
    <col min="1285" max="1286" width="0" style="106" hidden="1" customWidth="1"/>
    <col min="1287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540" width="9.33203125" style="106"/>
    <col min="1541" max="1542" width="0" style="106" hidden="1" customWidth="1"/>
    <col min="1543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1796" width="9.33203125" style="106"/>
    <col min="1797" max="1798" width="0" style="106" hidden="1" customWidth="1"/>
    <col min="1799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052" width="9.33203125" style="106"/>
    <col min="2053" max="2054" width="0" style="106" hidden="1" customWidth="1"/>
    <col min="2055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308" width="9.33203125" style="106"/>
    <col min="2309" max="2310" width="0" style="106" hidden="1" customWidth="1"/>
    <col min="2311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564" width="9.33203125" style="106"/>
    <col min="2565" max="2566" width="0" style="106" hidden="1" customWidth="1"/>
    <col min="2567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2820" width="9.33203125" style="106"/>
    <col min="2821" max="2822" width="0" style="106" hidden="1" customWidth="1"/>
    <col min="2823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076" width="9.33203125" style="106"/>
    <col min="3077" max="3078" width="0" style="106" hidden="1" customWidth="1"/>
    <col min="3079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332" width="9.33203125" style="106"/>
    <col min="3333" max="3334" width="0" style="106" hidden="1" customWidth="1"/>
    <col min="3335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588" width="9.33203125" style="106"/>
    <col min="3589" max="3590" width="0" style="106" hidden="1" customWidth="1"/>
    <col min="3591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3844" width="9.33203125" style="106"/>
    <col min="3845" max="3846" width="0" style="106" hidden="1" customWidth="1"/>
    <col min="3847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100" width="9.33203125" style="106"/>
    <col min="4101" max="4102" width="0" style="106" hidden="1" customWidth="1"/>
    <col min="4103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356" width="9.33203125" style="106"/>
    <col min="4357" max="4358" width="0" style="106" hidden="1" customWidth="1"/>
    <col min="4359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612" width="9.33203125" style="106"/>
    <col min="4613" max="4614" width="0" style="106" hidden="1" customWidth="1"/>
    <col min="4615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4868" width="9.33203125" style="106"/>
    <col min="4869" max="4870" width="0" style="106" hidden="1" customWidth="1"/>
    <col min="4871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124" width="9.33203125" style="106"/>
    <col min="5125" max="5126" width="0" style="106" hidden="1" customWidth="1"/>
    <col min="5127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380" width="9.33203125" style="106"/>
    <col min="5381" max="5382" width="0" style="106" hidden="1" customWidth="1"/>
    <col min="5383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636" width="9.33203125" style="106"/>
    <col min="5637" max="5638" width="0" style="106" hidden="1" customWidth="1"/>
    <col min="5639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5892" width="9.33203125" style="106"/>
    <col min="5893" max="5894" width="0" style="106" hidden="1" customWidth="1"/>
    <col min="5895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148" width="9.33203125" style="106"/>
    <col min="6149" max="6150" width="0" style="106" hidden="1" customWidth="1"/>
    <col min="6151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404" width="9.33203125" style="106"/>
    <col min="6405" max="6406" width="0" style="106" hidden="1" customWidth="1"/>
    <col min="6407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660" width="9.33203125" style="106"/>
    <col min="6661" max="6662" width="0" style="106" hidden="1" customWidth="1"/>
    <col min="6663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6916" width="9.33203125" style="106"/>
    <col min="6917" max="6918" width="0" style="106" hidden="1" customWidth="1"/>
    <col min="6919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172" width="9.33203125" style="106"/>
    <col min="7173" max="7174" width="0" style="106" hidden="1" customWidth="1"/>
    <col min="7175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428" width="9.33203125" style="106"/>
    <col min="7429" max="7430" width="0" style="106" hidden="1" customWidth="1"/>
    <col min="7431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684" width="9.33203125" style="106"/>
    <col min="7685" max="7686" width="0" style="106" hidden="1" customWidth="1"/>
    <col min="7687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7940" width="9.33203125" style="106"/>
    <col min="7941" max="7942" width="0" style="106" hidden="1" customWidth="1"/>
    <col min="7943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196" width="9.33203125" style="106"/>
    <col min="8197" max="8198" width="0" style="106" hidden="1" customWidth="1"/>
    <col min="8199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452" width="9.33203125" style="106"/>
    <col min="8453" max="8454" width="0" style="106" hidden="1" customWidth="1"/>
    <col min="8455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708" width="9.33203125" style="106"/>
    <col min="8709" max="8710" width="0" style="106" hidden="1" customWidth="1"/>
    <col min="8711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8964" width="9.33203125" style="106"/>
    <col min="8965" max="8966" width="0" style="106" hidden="1" customWidth="1"/>
    <col min="8967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220" width="9.33203125" style="106"/>
    <col min="9221" max="9222" width="0" style="106" hidden="1" customWidth="1"/>
    <col min="9223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476" width="9.33203125" style="106"/>
    <col min="9477" max="9478" width="0" style="106" hidden="1" customWidth="1"/>
    <col min="9479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732" width="9.33203125" style="106"/>
    <col min="9733" max="9734" width="0" style="106" hidden="1" customWidth="1"/>
    <col min="9735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9988" width="9.33203125" style="106"/>
    <col min="9989" max="9990" width="0" style="106" hidden="1" customWidth="1"/>
    <col min="9991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244" width="9.33203125" style="106"/>
    <col min="10245" max="10246" width="0" style="106" hidden="1" customWidth="1"/>
    <col min="10247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500" width="9.33203125" style="106"/>
    <col min="10501" max="10502" width="0" style="106" hidden="1" customWidth="1"/>
    <col min="10503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0756" width="9.33203125" style="106"/>
    <col min="10757" max="10758" width="0" style="106" hidden="1" customWidth="1"/>
    <col min="10759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012" width="9.33203125" style="106"/>
    <col min="11013" max="11014" width="0" style="106" hidden="1" customWidth="1"/>
    <col min="11015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268" width="9.33203125" style="106"/>
    <col min="11269" max="11270" width="0" style="106" hidden="1" customWidth="1"/>
    <col min="11271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524" width="9.33203125" style="106"/>
    <col min="11525" max="11526" width="0" style="106" hidden="1" customWidth="1"/>
    <col min="11527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1780" width="9.33203125" style="106"/>
    <col min="11781" max="11782" width="0" style="106" hidden="1" customWidth="1"/>
    <col min="11783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036" width="9.33203125" style="106"/>
    <col min="12037" max="12038" width="0" style="106" hidden="1" customWidth="1"/>
    <col min="12039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292" width="9.33203125" style="106"/>
    <col min="12293" max="12294" width="0" style="106" hidden="1" customWidth="1"/>
    <col min="12295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548" width="9.33203125" style="106"/>
    <col min="12549" max="12550" width="0" style="106" hidden="1" customWidth="1"/>
    <col min="12551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2804" width="9.33203125" style="106"/>
    <col min="12805" max="12806" width="0" style="106" hidden="1" customWidth="1"/>
    <col min="12807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060" width="9.33203125" style="106"/>
    <col min="13061" max="13062" width="0" style="106" hidden="1" customWidth="1"/>
    <col min="13063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316" width="9.33203125" style="106"/>
    <col min="13317" max="13318" width="0" style="106" hidden="1" customWidth="1"/>
    <col min="13319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572" width="9.33203125" style="106"/>
    <col min="13573" max="13574" width="0" style="106" hidden="1" customWidth="1"/>
    <col min="13575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3828" width="9.33203125" style="106"/>
    <col min="13829" max="13830" width="0" style="106" hidden="1" customWidth="1"/>
    <col min="13831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084" width="9.33203125" style="106"/>
    <col min="14085" max="14086" width="0" style="106" hidden="1" customWidth="1"/>
    <col min="14087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340" width="9.33203125" style="106"/>
    <col min="14341" max="14342" width="0" style="106" hidden="1" customWidth="1"/>
    <col min="14343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596" width="9.33203125" style="106"/>
    <col min="14597" max="14598" width="0" style="106" hidden="1" customWidth="1"/>
    <col min="14599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4852" width="9.33203125" style="106"/>
    <col min="14853" max="14854" width="0" style="106" hidden="1" customWidth="1"/>
    <col min="14855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108" width="9.33203125" style="106"/>
    <col min="15109" max="15110" width="0" style="106" hidden="1" customWidth="1"/>
    <col min="15111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364" width="9.33203125" style="106"/>
    <col min="15365" max="15366" width="0" style="106" hidden="1" customWidth="1"/>
    <col min="15367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620" width="9.33203125" style="106"/>
    <col min="15621" max="15622" width="0" style="106" hidden="1" customWidth="1"/>
    <col min="15623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5876" width="9.33203125" style="106"/>
    <col min="15877" max="15878" width="0" style="106" hidden="1" customWidth="1"/>
    <col min="15879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132" width="9.33203125" style="106"/>
    <col min="16133" max="16134" width="0" style="106" hidden="1" customWidth="1"/>
    <col min="16135" max="16384" width="9.33203125" style="106"/>
  </cols>
  <sheetData>
    <row r="1" spans="1:6" s="926" customFormat="1" ht="21" customHeight="1" thickBot="1" x14ac:dyDescent="0.25">
      <c r="A1" s="947"/>
      <c r="B1" s="948"/>
      <c r="C1" s="975"/>
      <c r="E1" s="933"/>
      <c r="F1" s="933"/>
    </row>
    <row r="2" spans="1:6" s="928" customFormat="1" ht="36" customHeight="1" x14ac:dyDescent="0.2">
      <c r="A2" s="967" t="s">
        <v>158</v>
      </c>
      <c r="B2" s="965" t="s">
        <v>533</v>
      </c>
      <c r="C2" s="976" t="s">
        <v>62</v>
      </c>
      <c r="E2" s="934"/>
      <c r="F2" s="934"/>
    </row>
    <row r="3" spans="1:6" s="928" customFormat="1" ht="24.75" thickBot="1" x14ac:dyDescent="0.25">
      <c r="A3" s="969" t="s">
        <v>157</v>
      </c>
      <c r="B3" s="966" t="s">
        <v>336</v>
      </c>
      <c r="C3" s="977" t="s">
        <v>54</v>
      </c>
      <c r="E3" s="934"/>
      <c r="F3" s="934"/>
    </row>
    <row r="4" spans="1:6" s="929" customFormat="1" ht="15.95" customHeight="1" thickBot="1" x14ac:dyDescent="0.3">
      <c r="A4" s="949"/>
      <c r="B4" s="949"/>
      <c r="C4" s="978" t="s">
        <v>553</v>
      </c>
      <c r="E4" s="934"/>
      <c r="F4" s="934"/>
    </row>
    <row r="5" spans="1:6" ht="13.5" thickBot="1" x14ac:dyDescent="0.25">
      <c r="A5" s="968" t="s">
        <v>159</v>
      </c>
      <c r="B5" s="950" t="s">
        <v>55</v>
      </c>
      <c r="C5" s="979" t="s">
        <v>56</v>
      </c>
    </row>
    <row r="6" spans="1:6" s="930" customFormat="1" ht="12.95" customHeight="1" thickBot="1" x14ac:dyDescent="0.25">
      <c r="A6" s="944" t="s">
        <v>443</v>
      </c>
      <c r="B6" s="945" t="s">
        <v>444</v>
      </c>
      <c r="C6" s="980" t="s">
        <v>445</v>
      </c>
      <c r="E6" s="935"/>
      <c r="F6" s="935"/>
    </row>
    <row r="7" spans="1:6" s="930" customFormat="1" ht="15.95" customHeight="1" thickBot="1" x14ac:dyDescent="0.25">
      <c r="A7" s="951"/>
      <c r="B7" s="952" t="s">
        <v>57</v>
      </c>
      <c r="C7" s="981"/>
      <c r="E7" s="935"/>
      <c r="F7" s="935"/>
    </row>
    <row r="8" spans="1:6" s="927" customFormat="1" ht="12" customHeight="1" thickBot="1" x14ac:dyDescent="0.25">
      <c r="A8" s="944" t="s">
        <v>19</v>
      </c>
      <c r="B8" s="953" t="s">
        <v>519</v>
      </c>
      <c r="C8" s="998">
        <f>SUM(C9:C19)</f>
        <v>1319815</v>
      </c>
      <c r="E8" s="936">
        <f>'9.7.1. sz. mell TIB  '!C8+'9.7.2. sz. mell TIB'!C8</f>
        <v>1319815</v>
      </c>
      <c r="F8" s="936">
        <f>C8-E8</f>
        <v>0</v>
      </c>
    </row>
    <row r="9" spans="1:6" s="927" customFormat="1" ht="12" customHeight="1" x14ac:dyDescent="0.2">
      <c r="A9" s="970" t="s">
        <v>95</v>
      </c>
      <c r="B9" s="941" t="s">
        <v>212</v>
      </c>
      <c r="C9" s="983"/>
      <c r="E9" s="936">
        <f>'9.7.1. sz. mell TIB  '!C9+'9.7.2. sz. mell TIB'!C9</f>
        <v>0</v>
      </c>
      <c r="F9" s="936">
        <f t="shared" ref="F9:F60" si="0">C9-E9</f>
        <v>0</v>
      </c>
    </row>
    <row r="10" spans="1:6" s="927" customFormat="1" ht="12" customHeight="1" x14ac:dyDescent="0.2">
      <c r="A10" s="971" t="s">
        <v>96</v>
      </c>
      <c r="B10" s="939" t="s">
        <v>213</v>
      </c>
      <c r="C10" s="984"/>
      <c r="E10" s="936">
        <f>'9.7.1. sz. mell TIB  '!C10+'9.7.2. sz. mell TIB'!C10</f>
        <v>0</v>
      </c>
      <c r="F10" s="936">
        <f t="shared" si="0"/>
        <v>0</v>
      </c>
    </row>
    <row r="11" spans="1:6" s="927" customFormat="1" ht="12" customHeight="1" x14ac:dyDescent="0.2">
      <c r="A11" s="971" t="s">
        <v>97</v>
      </c>
      <c r="B11" s="939" t="s">
        <v>214</v>
      </c>
      <c r="C11" s="984"/>
      <c r="E11" s="936">
        <f>'9.7.1. sz. mell TIB  '!C11+'9.7.2. sz. mell TIB'!C11</f>
        <v>0</v>
      </c>
      <c r="F11" s="936">
        <f t="shared" si="0"/>
        <v>0</v>
      </c>
    </row>
    <row r="12" spans="1:6" s="927" customFormat="1" ht="12" customHeight="1" x14ac:dyDescent="0.2">
      <c r="A12" s="971" t="s">
        <v>98</v>
      </c>
      <c r="B12" s="939" t="s">
        <v>215</v>
      </c>
      <c r="C12" s="984"/>
      <c r="E12" s="936">
        <f>'9.7.1. sz. mell TIB  '!C12+'9.7.2. sz. mell TIB'!C12</f>
        <v>0</v>
      </c>
      <c r="F12" s="936">
        <f t="shared" si="0"/>
        <v>0</v>
      </c>
    </row>
    <row r="13" spans="1:6" s="927" customFormat="1" ht="12" customHeight="1" x14ac:dyDescent="0.2">
      <c r="A13" s="971" t="s">
        <v>121</v>
      </c>
      <c r="B13" s="939" t="s">
        <v>216</v>
      </c>
      <c r="C13" s="1018">
        <f>708995+191429+325000</f>
        <v>1225424</v>
      </c>
      <c r="E13" s="936">
        <f>'9.7.1. sz. mell TIB  '!C13+'9.7.2. sz. mell TIB'!C13</f>
        <v>1225424</v>
      </c>
      <c r="F13" s="936">
        <f t="shared" si="0"/>
        <v>0</v>
      </c>
    </row>
    <row r="14" spans="1:6" s="927" customFormat="1" ht="12" customHeight="1" x14ac:dyDescent="0.2">
      <c r="A14" s="971" t="s">
        <v>99</v>
      </c>
      <c r="B14" s="939" t="s">
        <v>337</v>
      </c>
      <c r="C14" s="680">
        <f>191429-191429</f>
        <v>0</v>
      </c>
      <c r="E14" s="936">
        <f>'9.7.1. sz. mell TIB  '!C14+'9.7.2. sz. mell TIB'!C14</f>
        <v>0</v>
      </c>
      <c r="F14" s="936">
        <f t="shared" si="0"/>
        <v>0</v>
      </c>
    </row>
    <row r="15" spans="1:6" s="927" customFormat="1" ht="12" customHeight="1" x14ac:dyDescent="0.2">
      <c r="A15" s="971" t="s">
        <v>100</v>
      </c>
      <c r="B15" s="938" t="s">
        <v>338</v>
      </c>
      <c r="C15" s="984"/>
      <c r="E15" s="936">
        <f>'9.7.1. sz. mell TIB  '!C15+'9.7.2. sz. mell TIB'!C15</f>
        <v>0</v>
      </c>
      <c r="F15" s="936">
        <f t="shared" si="0"/>
        <v>0</v>
      </c>
    </row>
    <row r="16" spans="1:6" s="927" customFormat="1" ht="12" customHeight="1" x14ac:dyDescent="0.2">
      <c r="A16" s="971" t="s">
        <v>110</v>
      </c>
      <c r="B16" s="939" t="s">
        <v>219</v>
      </c>
      <c r="C16" s="985"/>
      <c r="E16" s="936">
        <f>'9.7.1. sz. mell TIB  '!C16+'9.7.2. sz. mell TIB'!C16</f>
        <v>0</v>
      </c>
      <c r="F16" s="936">
        <f t="shared" si="0"/>
        <v>0</v>
      </c>
    </row>
    <row r="17" spans="1:6" s="931" customFormat="1" ht="12" customHeight="1" x14ac:dyDescent="0.2">
      <c r="A17" s="971" t="s">
        <v>111</v>
      </c>
      <c r="B17" s="939" t="s">
        <v>220</v>
      </c>
      <c r="C17" s="984"/>
      <c r="E17" s="936">
        <f>'9.7.1. sz. mell TIB  '!C17+'9.7.2. sz. mell TIB'!C17</f>
        <v>0</v>
      </c>
      <c r="F17" s="936">
        <f t="shared" si="0"/>
        <v>0</v>
      </c>
    </row>
    <row r="18" spans="1:6" s="931" customFormat="1" ht="12" customHeight="1" x14ac:dyDescent="0.2">
      <c r="A18" s="971" t="s">
        <v>112</v>
      </c>
      <c r="B18" s="939" t="s">
        <v>449</v>
      </c>
      <c r="C18" s="986"/>
      <c r="E18" s="936">
        <f>'9.7.1. sz. mell TIB  '!C18+'9.7.2. sz. mell TIB'!C18</f>
        <v>0</v>
      </c>
      <c r="F18" s="936">
        <f t="shared" si="0"/>
        <v>0</v>
      </c>
    </row>
    <row r="19" spans="1:6" s="931" customFormat="1" ht="12" customHeight="1" thickBot="1" x14ac:dyDescent="0.25">
      <c r="A19" s="971" t="s">
        <v>113</v>
      </c>
      <c r="B19" s="938" t="s">
        <v>221</v>
      </c>
      <c r="C19" s="1107">
        <f>27424+26967+40000</f>
        <v>94391</v>
      </c>
      <c r="E19" s="936">
        <f>'9.7.1. sz. mell TIB  '!C19+'9.7.2. sz. mell TIB'!C19</f>
        <v>94391</v>
      </c>
      <c r="F19" s="936">
        <f t="shared" si="0"/>
        <v>0</v>
      </c>
    </row>
    <row r="20" spans="1:6" s="927" customFormat="1" ht="12" customHeight="1" thickBot="1" x14ac:dyDescent="0.25">
      <c r="A20" s="944" t="s">
        <v>20</v>
      </c>
      <c r="B20" s="953" t="s">
        <v>339</v>
      </c>
      <c r="C20" s="982">
        <f>SUM(C21:C23)</f>
        <v>1631175</v>
      </c>
      <c r="E20" s="936">
        <f>'9.7.1. sz. mell TIB  '!C20+'9.7.2. sz. mell TIB'!C20</f>
        <v>1631175</v>
      </c>
      <c r="F20" s="936">
        <f t="shared" si="0"/>
        <v>0</v>
      </c>
    </row>
    <row r="21" spans="1:6" s="931" customFormat="1" ht="12" customHeight="1" x14ac:dyDescent="0.2">
      <c r="A21" s="971" t="s">
        <v>101</v>
      </c>
      <c r="B21" s="940" t="s">
        <v>190</v>
      </c>
      <c r="C21" s="987"/>
      <c r="E21" s="936">
        <f>'9.7.1. sz. mell TIB  '!C21+'9.7.2. sz. mell TIB'!C21</f>
        <v>0</v>
      </c>
      <c r="F21" s="936">
        <f t="shared" si="0"/>
        <v>0</v>
      </c>
    </row>
    <row r="22" spans="1:6" s="931" customFormat="1" ht="12" customHeight="1" x14ac:dyDescent="0.2">
      <c r="A22" s="971" t="s">
        <v>102</v>
      </c>
      <c r="B22" s="939" t="s">
        <v>340</v>
      </c>
      <c r="C22" s="984"/>
      <c r="E22" s="936">
        <f>'9.7.1. sz. mell TIB  '!C22+'9.7.2. sz. mell TIB'!C22</f>
        <v>0</v>
      </c>
      <c r="F22" s="936">
        <f t="shared" si="0"/>
        <v>0</v>
      </c>
    </row>
    <row r="23" spans="1:6" s="931" customFormat="1" ht="12" customHeight="1" x14ac:dyDescent="0.2">
      <c r="A23" s="971" t="s">
        <v>103</v>
      </c>
      <c r="B23" s="939" t="s">
        <v>341</v>
      </c>
      <c r="C23" s="984">
        <v>1631175</v>
      </c>
      <c r="E23" s="936">
        <f>'9.7.1. sz. mell TIB  '!C23+'9.7.2. sz. mell TIB'!C23</f>
        <v>1631175</v>
      </c>
      <c r="F23" s="936">
        <f t="shared" si="0"/>
        <v>0</v>
      </c>
    </row>
    <row r="24" spans="1:6" s="931" customFormat="1" ht="12" customHeight="1" thickBot="1" x14ac:dyDescent="0.25">
      <c r="A24" s="971" t="s">
        <v>104</v>
      </c>
      <c r="B24" s="939" t="s">
        <v>520</v>
      </c>
      <c r="C24" s="984">
        <v>1631175</v>
      </c>
      <c r="E24" s="936">
        <f>'9.7.1. sz. mell TIB  '!C24+'9.7.2. sz. mell TIB'!C24</f>
        <v>1631175</v>
      </c>
      <c r="F24" s="936">
        <f t="shared" si="0"/>
        <v>0</v>
      </c>
    </row>
    <row r="25" spans="1:6" s="931" customFormat="1" ht="12" customHeight="1" thickBot="1" x14ac:dyDescent="0.25">
      <c r="A25" s="946" t="s">
        <v>21</v>
      </c>
      <c r="B25" s="942" t="s">
        <v>135</v>
      </c>
      <c r="C25" s="988"/>
      <c r="E25" s="936">
        <f>'9.7.1. sz. mell TIB  '!C25+'9.7.2. sz. mell TIB'!C25</f>
        <v>0</v>
      </c>
      <c r="F25" s="936">
        <f t="shared" si="0"/>
        <v>0</v>
      </c>
    </row>
    <row r="26" spans="1:6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  <c r="E26" s="936">
        <f>'9.7.1. sz. mell TIB  '!C26+'9.7.2. sz. mell TIB'!C26</f>
        <v>0</v>
      </c>
      <c r="F26" s="936">
        <f t="shared" si="0"/>
        <v>0</v>
      </c>
    </row>
    <row r="27" spans="1:6" s="931" customFormat="1" ht="12" customHeight="1" x14ac:dyDescent="0.2">
      <c r="A27" s="972" t="s">
        <v>200</v>
      </c>
      <c r="B27" s="973" t="s">
        <v>195</v>
      </c>
      <c r="C27" s="989"/>
      <c r="E27" s="936">
        <f>'9.7.1. sz. mell TIB  '!C27+'9.7.2. sz. mell TIB'!C27</f>
        <v>0</v>
      </c>
      <c r="F27" s="936">
        <f t="shared" si="0"/>
        <v>0</v>
      </c>
    </row>
    <row r="28" spans="1:6" s="931" customFormat="1" ht="12" customHeight="1" x14ac:dyDescent="0.2">
      <c r="A28" s="972" t="s">
        <v>203</v>
      </c>
      <c r="B28" s="973" t="s">
        <v>340</v>
      </c>
      <c r="C28" s="987"/>
      <c r="E28" s="936">
        <f>'9.7.1. sz. mell TIB  '!C28+'9.7.2. sz. mell TIB'!C28</f>
        <v>0</v>
      </c>
      <c r="F28" s="936">
        <f t="shared" si="0"/>
        <v>0</v>
      </c>
    </row>
    <row r="29" spans="1:6" s="931" customFormat="1" ht="12" customHeight="1" x14ac:dyDescent="0.2">
      <c r="A29" s="972" t="s">
        <v>204</v>
      </c>
      <c r="B29" s="974" t="s">
        <v>342</v>
      </c>
      <c r="C29" s="987"/>
      <c r="E29" s="936">
        <f>'9.7.1. sz. mell TIB  '!C29+'9.7.2. sz. mell TIB'!C29</f>
        <v>0</v>
      </c>
      <c r="F29" s="936">
        <f t="shared" si="0"/>
        <v>0</v>
      </c>
    </row>
    <row r="30" spans="1:6" s="931" customFormat="1" ht="12" customHeight="1" thickBot="1" x14ac:dyDescent="0.25">
      <c r="A30" s="971" t="s">
        <v>205</v>
      </c>
      <c r="B30" s="943" t="s">
        <v>522</v>
      </c>
      <c r="C30" s="990"/>
      <c r="E30" s="936">
        <f>'9.7.1. sz. mell TIB  '!C30+'9.7.2. sz. mell TIB'!C30</f>
        <v>0</v>
      </c>
      <c r="F30" s="936">
        <f t="shared" si="0"/>
        <v>0</v>
      </c>
    </row>
    <row r="31" spans="1:6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  <c r="E31" s="936">
        <f>'9.7.1. sz. mell TIB  '!C31+'9.7.2. sz. mell TIB'!C31</f>
        <v>0</v>
      </c>
      <c r="F31" s="936">
        <f t="shared" si="0"/>
        <v>0</v>
      </c>
    </row>
    <row r="32" spans="1:6" s="931" customFormat="1" ht="12" customHeight="1" x14ac:dyDescent="0.2">
      <c r="A32" s="972" t="s">
        <v>88</v>
      </c>
      <c r="B32" s="973" t="s">
        <v>226</v>
      </c>
      <c r="C32" s="989"/>
      <c r="E32" s="936">
        <f>'9.7.1. sz. mell TIB  '!C32+'9.7.2. sz. mell TIB'!C32</f>
        <v>0</v>
      </c>
      <c r="F32" s="936">
        <f t="shared" si="0"/>
        <v>0</v>
      </c>
    </row>
    <row r="33" spans="1:6" s="931" customFormat="1" ht="12" customHeight="1" x14ac:dyDescent="0.2">
      <c r="A33" s="972" t="s">
        <v>89</v>
      </c>
      <c r="B33" s="974" t="s">
        <v>227</v>
      </c>
      <c r="C33" s="985"/>
      <c r="E33" s="936">
        <f>'9.7.1. sz. mell TIB  '!C33+'9.7.2. sz. mell TIB'!C33</f>
        <v>0</v>
      </c>
      <c r="F33" s="936">
        <f t="shared" si="0"/>
        <v>0</v>
      </c>
    </row>
    <row r="34" spans="1:6" s="927" customFormat="1" ht="12" customHeight="1" thickBot="1" x14ac:dyDescent="0.25">
      <c r="A34" s="971" t="s">
        <v>90</v>
      </c>
      <c r="B34" s="943" t="s">
        <v>228</v>
      </c>
      <c r="C34" s="990"/>
      <c r="E34" s="936">
        <f>'9.7.1. sz. mell TIB  '!C34+'9.7.2. sz. mell TIB'!C34</f>
        <v>0</v>
      </c>
      <c r="F34" s="936">
        <f t="shared" si="0"/>
        <v>0</v>
      </c>
    </row>
    <row r="35" spans="1:6" s="927" customFormat="1" ht="12" customHeight="1" thickBot="1" x14ac:dyDescent="0.25">
      <c r="A35" s="946" t="s">
        <v>24</v>
      </c>
      <c r="B35" s="942" t="s">
        <v>314</v>
      </c>
      <c r="C35" s="988"/>
      <c r="E35" s="936">
        <f>'9.7.1. sz. mell TIB  '!C35+'9.7.2. sz. mell TIB'!C35</f>
        <v>0</v>
      </c>
      <c r="F35" s="936">
        <f t="shared" si="0"/>
        <v>0</v>
      </c>
    </row>
    <row r="36" spans="1:6" s="927" customFormat="1" ht="12" customHeight="1" thickBot="1" x14ac:dyDescent="0.25">
      <c r="A36" s="946" t="s">
        <v>25</v>
      </c>
      <c r="B36" s="942" t="s">
        <v>344</v>
      </c>
      <c r="C36" s="991"/>
      <c r="E36" s="936">
        <f>'9.7.1. sz. mell TIB  '!C36+'9.7.2. sz. mell TIB'!C36</f>
        <v>0</v>
      </c>
      <c r="F36" s="936">
        <f t="shared" si="0"/>
        <v>0</v>
      </c>
    </row>
    <row r="37" spans="1:6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2950990</v>
      </c>
      <c r="E37" s="936">
        <f>'9.7.1. sz. mell TIB  '!C37+'9.7.2. sz. mell TIB'!C37</f>
        <v>2950990</v>
      </c>
      <c r="F37" s="936">
        <f t="shared" si="0"/>
        <v>0</v>
      </c>
    </row>
    <row r="38" spans="1:6" s="927" customFormat="1" ht="12" customHeight="1" thickBot="1" x14ac:dyDescent="0.25">
      <c r="A38" s="954" t="s">
        <v>27</v>
      </c>
      <c r="B38" s="942" t="s">
        <v>346</v>
      </c>
      <c r="C38" s="999">
        <f>+C39+C40+C41</f>
        <v>91741189</v>
      </c>
      <c r="E38" s="936">
        <f>'9.7.1. sz. mell TIB  '!C38+'9.7.2. sz. mell TIB'!C38</f>
        <v>91741189</v>
      </c>
      <c r="F38" s="936">
        <f t="shared" si="0"/>
        <v>0</v>
      </c>
    </row>
    <row r="39" spans="1:6" s="927" customFormat="1" ht="12" customHeight="1" x14ac:dyDescent="0.2">
      <c r="A39" s="972" t="s">
        <v>347</v>
      </c>
      <c r="B39" s="973" t="s">
        <v>172</v>
      </c>
      <c r="C39" s="989">
        <v>372804</v>
      </c>
      <c r="E39" s="936">
        <f>'9.7.1. sz. mell TIB  '!C39+'9.7.2. sz. mell TIB'!C39</f>
        <v>372804</v>
      </c>
      <c r="F39" s="936">
        <f t="shared" si="0"/>
        <v>0</v>
      </c>
    </row>
    <row r="40" spans="1:6" s="931" customFormat="1" ht="12" customHeight="1" x14ac:dyDescent="0.2">
      <c r="A40" s="972" t="s">
        <v>348</v>
      </c>
      <c r="B40" s="974" t="s">
        <v>10</v>
      </c>
      <c r="C40" s="985"/>
      <c r="E40" s="936">
        <f>'9.7.1. sz. mell TIB  '!C40+'9.7.2. sz. mell TIB'!C40</f>
        <v>0</v>
      </c>
      <c r="F40" s="936">
        <f t="shared" si="0"/>
        <v>0</v>
      </c>
    </row>
    <row r="41" spans="1:6" s="931" customFormat="1" ht="15" customHeight="1" thickBot="1" x14ac:dyDescent="0.25">
      <c r="A41" s="971" t="s">
        <v>349</v>
      </c>
      <c r="B41" s="943" t="s">
        <v>350</v>
      </c>
      <c r="C41" s="1028">
        <f>91991548-534450+80000+1977287-2146000</f>
        <v>91368385</v>
      </c>
      <c r="E41" s="936">
        <f>'9.7.1. sz. mell TIB  '!C41+'9.7.2. sz. mell TIB'!C41</f>
        <v>91368385</v>
      </c>
      <c r="F41" s="936">
        <f t="shared" si="0"/>
        <v>0</v>
      </c>
    </row>
    <row r="42" spans="1:6" s="931" customFormat="1" ht="15" customHeight="1" thickBot="1" x14ac:dyDescent="0.25">
      <c r="A42" s="954" t="s">
        <v>28</v>
      </c>
      <c r="B42" s="955" t="s">
        <v>351</v>
      </c>
      <c r="C42" s="999">
        <f>+C37+C38</f>
        <v>94692179</v>
      </c>
      <c r="E42" s="936">
        <f>'9.7.1. sz. mell TIB  '!C42+'9.7.2. sz. mell TIB'!C42</f>
        <v>94692179</v>
      </c>
      <c r="F42" s="936">
        <f t="shared" si="0"/>
        <v>0</v>
      </c>
    </row>
    <row r="43" spans="1:6" x14ac:dyDescent="0.2">
      <c r="A43" s="956"/>
      <c r="B43" s="957"/>
      <c r="C43" s="994"/>
      <c r="E43" s="936">
        <f>'9.7.1. sz. mell TIB  '!C43+'9.7.2. sz. mell TIB'!C43</f>
        <v>0</v>
      </c>
      <c r="F43" s="936">
        <f t="shared" si="0"/>
        <v>0</v>
      </c>
    </row>
    <row r="44" spans="1:6" s="930" customFormat="1" ht="16.5" customHeight="1" thickBot="1" x14ac:dyDescent="0.25">
      <c r="A44" s="958"/>
      <c r="B44" s="959"/>
      <c r="C44" s="995"/>
      <c r="E44" s="936">
        <f>'9.7.1. sz. mell TIB  '!C44+'9.7.2. sz. mell TIB'!C44</f>
        <v>0</v>
      </c>
      <c r="F44" s="936">
        <f t="shared" si="0"/>
        <v>0</v>
      </c>
    </row>
    <row r="45" spans="1:6" s="932" customFormat="1" ht="12" customHeight="1" thickBot="1" x14ac:dyDescent="0.25">
      <c r="A45" s="960"/>
      <c r="B45" s="961" t="s">
        <v>58</v>
      </c>
      <c r="C45" s="993"/>
      <c r="E45" s="936">
        <f>'9.7.1. sz. mell TIB  '!C45+'9.7.2. sz. mell TIB'!C45</f>
        <v>0</v>
      </c>
      <c r="F45" s="936">
        <f t="shared" si="0"/>
        <v>0</v>
      </c>
    </row>
    <row r="46" spans="1:6" ht="12" customHeight="1" thickBot="1" x14ac:dyDescent="0.25">
      <c r="A46" s="946" t="s">
        <v>19</v>
      </c>
      <c r="B46" s="942" t="s">
        <v>352</v>
      </c>
      <c r="C46" s="998">
        <f>SUM(C47:C51)</f>
        <v>92717129</v>
      </c>
      <c r="E46" s="936">
        <f>'9.7.1. sz. mell TIB  '!C46+'9.7.2. sz. mell TIB'!C46</f>
        <v>92717129</v>
      </c>
      <c r="F46" s="936">
        <f t="shared" si="0"/>
        <v>0</v>
      </c>
    </row>
    <row r="47" spans="1:6" ht="12" customHeight="1" x14ac:dyDescent="0.2">
      <c r="A47" s="971" t="s">
        <v>95</v>
      </c>
      <c r="B47" s="940" t="s">
        <v>49</v>
      </c>
      <c r="C47" s="989">
        <f>64039486+1365000+22949+22950-40000+315819</f>
        <v>65726204</v>
      </c>
      <c r="E47" s="936">
        <f>'9.7.1. sz. mell TIB  '!C47+'9.7.2. sz. mell TIB'!C47</f>
        <v>65726204</v>
      </c>
      <c r="F47" s="936">
        <f t="shared" si="0"/>
        <v>0</v>
      </c>
    </row>
    <row r="48" spans="1:6" ht="12" customHeight="1" x14ac:dyDescent="0.2">
      <c r="A48" s="971" t="s">
        <v>96</v>
      </c>
      <c r="B48" s="939" t="s">
        <v>144</v>
      </c>
      <c r="C48" s="984">
        <f>12834203+266175+4475-534450+4017-16284+55268</f>
        <v>12613404</v>
      </c>
      <c r="E48" s="936">
        <f>'9.7.1. sz. mell TIB  '!C48+'9.7.2. sz. mell TIB'!C48</f>
        <v>12613404</v>
      </c>
      <c r="F48" s="936">
        <f t="shared" si="0"/>
        <v>0</v>
      </c>
    </row>
    <row r="49" spans="1:6" ht="12" customHeight="1" x14ac:dyDescent="0.2">
      <c r="A49" s="971" t="s">
        <v>97</v>
      </c>
      <c r="B49" s="939" t="s">
        <v>120</v>
      </c>
      <c r="C49" s="1018">
        <f>15749737-4000-63500+80000+56284+340000-600000-181000-1000000</f>
        <v>14377521</v>
      </c>
      <c r="E49" s="936">
        <f>'9.7.1. sz. mell TIB  '!C49+'9.7.2. sz. mell TIB'!C49</f>
        <v>14377521</v>
      </c>
      <c r="F49" s="936">
        <f t="shared" si="0"/>
        <v>0</v>
      </c>
    </row>
    <row r="50" spans="1:6" ht="12" customHeight="1" x14ac:dyDescent="0.2">
      <c r="A50" s="971" t="s">
        <v>98</v>
      </c>
      <c r="B50" s="939" t="s">
        <v>145</v>
      </c>
      <c r="C50" s="680"/>
      <c r="E50" s="936">
        <f>'9.7.1. sz. mell TIB  '!C50+'9.7.2. sz. mell TIB'!C50</f>
        <v>0</v>
      </c>
      <c r="F50" s="936">
        <f t="shared" si="0"/>
        <v>0</v>
      </c>
    </row>
    <row r="51" spans="1:6" ht="12" customHeight="1" thickBot="1" x14ac:dyDescent="0.25">
      <c r="A51" s="971" t="s">
        <v>121</v>
      </c>
      <c r="B51" s="939" t="s">
        <v>146</v>
      </c>
      <c r="C51" s="680"/>
      <c r="E51" s="936">
        <f>'9.7.1. sz. mell TIB  '!C51+'9.7.2. sz. mell TIB'!C51</f>
        <v>0</v>
      </c>
      <c r="F51" s="936">
        <f t="shared" si="0"/>
        <v>0</v>
      </c>
    </row>
    <row r="52" spans="1:6" s="932" customFormat="1" ht="12" customHeight="1" thickBot="1" x14ac:dyDescent="0.25">
      <c r="A52" s="946" t="s">
        <v>20</v>
      </c>
      <c r="B52" s="942" t="s">
        <v>353</v>
      </c>
      <c r="C52" s="982">
        <f>SUM(C53:C55)</f>
        <v>1975050</v>
      </c>
      <c r="E52" s="936">
        <f>'9.7.1. sz. mell TIB  '!C52+'9.7.2. sz. mell TIB'!C52</f>
        <v>1975050</v>
      </c>
      <c r="F52" s="936">
        <f t="shared" si="0"/>
        <v>0</v>
      </c>
    </row>
    <row r="53" spans="1:6" ht="12" customHeight="1" x14ac:dyDescent="0.2">
      <c r="A53" s="971" t="s">
        <v>101</v>
      </c>
      <c r="B53" s="940" t="s">
        <v>163</v>
      </c>
      <c r="C53" s="989">
        <f>641350+4000+63500+1266200</f>
        <v>1975050</v>
      </c>
      <c r="E53" s="936">
        <f>'9.7.1. sz. mell TIB  '!C53+'9.7.2. sz. mell TIB'!C53</f>
        <v>1975050</v>
      </c>
      <c r="F53" s="936">
        <f t="shared" si="0"/>
        <v>0</v>
      </c>
    </row>
    <row r="54" spans="1:6" ht="12" customHeight="1" x14ac:dyDescent="0.2">
      <c r="A54" s="971" t="s">
        <v>102</v>
      </c>
      <c r="B54" s="939" t="s">
        <v>148</v>
      </c>
      <c r="C54" s="984"/>
      <c r="E54" s="936">
        <f>'9.7.1. sz. mell TIB  '!C54+'9.7.2. sz. mell TIB'!C54</f>
        <v>0</v>
      </c>
      <c r="F54" s="936">
        <f t="shared" si="0"/>
        <v>0</v>
      </c>
    </row>
    <row r="55" spans="1:6" ht="12" customHeight="1" x14ac:dyDescent="0.2">
      <c r="A55" s="971" t="s">
        <v>103</v>
      </c>
      <c r="B55" s="939" t="s">
        <v>59</v>
      </c>
      <c r="C55" s="984"/>
      <c r="E55" s="936">
        <f>'9.7.1. sz. mell TIB  '!C55+'9.7.2. sz. mell TIB'!C55</f>
        <v>0</v>
      </c>
      <c r="F55" s="936">
        <f t="shared" si="0"/>
        <v>0</v>
      </c>
    </row>
    <row r="56" spans="1:6" ht="15" customHeight="1" thickBot="1" x14ac:dyDescent="0.25">
      <c r="A56" s="971" t="s">
        <v>104</v>
      </c>
      <c r="B56" s="939" t="s">
        <v>523</v>
      </c>
      <c r="C56" s="984"/>
      <c r="E56" s="936">
        <f>'9.7.1. sz. mell TIB  '!C56+'9.7.2. sz. mell TIB'!C56</f>
        <v>0</v>
      </c>
      <c r="F56" s="936">
        <f t="shared" si="0"/>
        <v>0</v>
      </c>
    </row>
    <row r="57" spans="1:6" ht="13.5" thickBot="1" x14ac:dyDescent="0.25">
      <c r="A57" s="946" t="s">
        <v>21</v>
      </c>
      <c r="B57" s="942" t="s">
        <v>13</v>
      </c>
      <c r="C57" s="988"/>
      <c r="E57" s="936">
        <f>'9.7.1. sz. mell TIB  '!C57+'9.7.2. sz. mell TIB'!C57</f>
        <v>0</v>
      </c>
      <c r="F57" s="936">
        <f t="shared" si="0"/>
        <v>0</v>
      </c>
    </row>
    <row r="58" spans="1:6" ht="15" customHeight="1" thickBot="1" x14ac:dyDescent="0.25">
      <c r="A58" s="946" t="s">
        <v>22</v>
      </c>
      <c r="B58" s="962" t="s">
        <v>524</v>
      </c>
      <c r="C58" s="1000">
        <f>+C46+C52+C57</f>
        <v>94692179</v>
      </c>
      <c r="E58" s="936">
        <f>'9.7.1. sz. mell TIB  '!C58+'9.7.2. sz. mell TIB'!C58</f>
        <v>94692179</v>
      </c>
      <c r="F58" s="936">
        <f t="shared" si="0"/>
        <v>0</v>
      </c>
    </row>
    <row r="59" spans="1:6" ht="14.25" customHeight="1" thickBot="1" x14ac:dyDescent="0.25">
      <c r="C59" s="996"/>
      <c r="E59" s="936">
        <f>'9.7.1. sz. mell TIB  '!C59+'9.7.2. sz. mell TIB'!C59</f>
        <v>0</v>
      </c>
      <c r="F59" s="936">
        <f t="shared" si="0"/>
        <v>0</v>
      </c>
    </row>
    <row r="60" spans="1:6" x14ac:dyDescent="0.2">
      <c r="A60" s="753" t="s">
        <v>517</v>
      </c>
      <c r="B60" s="754"/>
      <c r="C60" s="755">
        <v>21</v>
      </c>
      <c r="E60" s="936" t="e">
        <f>'9.7.1. sz. mell TIB  '!C60+'9.7.2. sz. mell TIB'!#REF!</f>
        <v>#REF!</v>
      </c>
      <c r="F60" s="936" t="e">
        <f t="shared" si="0"/>
        <v>#REF!</v>
      </c>
    </row>
    <row r="61" spans="1:6" ht="13.5" thickBot="1" x14ac:dyDescent="0.25">
      <c r="A61" s="1206" t="s">
        <v>779</v>
      </c>
      <c r="B61" s="1207"/>
      <c r="C61" s="771">
        <v>0.67</v>
      </c>
      <c r="E61" s="936"/>
      <c r="F61" s="936"/>
    </row>
    <row r="62" spans="1:6" x14ac:dyDescent="0.2">
      <c r="E62" s="936"/>
      <c r="F62" s="936"/>
    </row>
    <row r="63" spans="1:6" x14ac:dyDescent="0.2">
      <c r="B63" s="106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4/2020.(II.28.)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C61"/>
  <sheetViews>
    <sheetView view="pageLayout" topLeftCell="B1" zoomScaleNormal="145" workbookViewId="0">
      <selection activeCell="D54" sqref="D54"/>
    </sheetView>
  </sheetViews>
  <sheetFormatPr defaultRowHeight="12.75" x14ac:dyDescent="0.2"/>
  <cols>
    <col min="1" max="1" width="13.83203125" style="105" customWidth="1"/>
    <col min="2" max="2" width="79.1640625" style="106" customWidth="1"/>
    <col min="3" max="3" width="25" style="382" customWidth="1"/>
    <col min="4" max="256" width="9.33203125" style="106"/>
    <col min="257" max="257" width="13.83203125" style="106" customWidth="1"/>
    <col min="258" max="258" width="79.1640625" style="106" customWidth="1"/>
    <col min="259" max="259" width="25" style="106" customWidth="1"/>
    <col min="260" max="512" width="9.33203125" style="106"/>
    <col min="513" max="513" width="13.83203125" style="106" customWidth="1"/>
    <col min="514" max="514" width="79.1640625" style="106" customWidth="1"/>
    <col min="515" max="515" width="25" style="106" customWidth="1"/>
    <col min="516" max="768" width="9.33203125" style="106"/>
    <col min="769" max="769" width="13.83203125" style="106" customWidth="1"/>
    <col min="770" max="770" width="79.1640625" style="106" customWidth="1"/>
    <col min="771" max="771" width="25" style="106" customWidth="1"/>
    <col min="772" max="1024" width="9.33203125" style="106"/>
    <col min="1025" max="1025" width="13.83203125" style="106" customWidth="1"/>
    <col min="1026" max="1026" width="79.1640625" style="106" customWidth="1"/>
    <col min="1027" max="1027" width="25" style="106" customWidth="1"/>
    <col min="1028" max="1280" width="9.33203125" style="106"/>
    <col min="1281" max="1281" width="13.83203125" style="106" customWidth="1"/>
    <col min="1282" max="1282" width="79.1640625" style="106" customWidth="1"/>
    <col min="1283" max="1283" width="25" style="106" customWidth="1"/>
    <col min="1284" max="1536" width="9.33203125" style="106"/>
    <col min="1537" max="1537" width="13.83203125" style="106" customWidth="1"/>
    <col min="1538" max="1538" width="79.1640625" style="106" customWidth="1"/>
    <col min="1539" max="1539" width="25" style="106" customWidth="1"/>
    <col min="1540" max="1792" width="9.33203125" style="106"/>
    <col min="1793" max="1793" width="13.83203125" style="106" customWidth="1"/>
    <col min="1794" max="1794" width="79.1640625" style="106" customWidth="1"/>
    <col min="1795" max="1795" width="25" style="106" customWidth="1"/>
    <col min="1796" max="2048" width="9.33203125" style="106"/>
    <col min="2049" max="2049" width="13.83203125" style="106" customWidth="1"/>
    <col min="2050" max="2050" width="79.1640625" style="106" customWidth="1"/>
    <col min="2051" max="2051" width="25" style="106" customWidth="1"/>
    <col min="2052" max="2304" width="9.33203125" style="106"/>
    <col min="2305" max="2305" width="13.83203125" style="106" customWidth="1"/>
    <col min="2306" max="2306" width="79.1640625" style="106" customWidth="1"/>
    <col min="2307" max="2307" width="25" style="106" customWidth="1"/>
    <col min="2308" max="2560" width="9.33203125" style="106"/>
    <col min="2561" max="2561" width="13.83203125" style="106" customWidth="1"/>
    <col min="2562" max="2562" width="79.1640625" style="106" customWidth="1"/>
    <col min="2563" max="2563" width="25" style="106" customWidth="1"/>
    <col min="2564" max="2816" width="9.33203125" style="106"/>
    <col min="2817" max="2817" width="13.83203125" style="106" customWidth="1"/>
    <col min="2818" max="2818" width="79.1640625" style="106" customWidth="1"/>
    <col min="2819" max="2819" width="25" style="106" customWidth="1"/>
    <col min="2820" max="3072" width="9.33203125" style="106"/>
    <col min="3073" max="3073" width="13.83203125" style="106" customWidth="1"/>
    <col min="3074" max="3074" width="79.1640625" style="106" customWidth="1"/>
    <col min="3075" max="3075" width="25" style="106" customWidth="1"/>
    <col min="3076" max="3328" width="9.33203125" style="106"/>
    <col min="3329" max="3329" width="13.83203125" style="106" customWidth="1"/>
    <col min="3330" max="3330" width="79.1640625" style="106" customWidth="1"/>
    <col min="3331" max="3331" width="25" style="106" customWidth="1"/>
    <col min="3332" max="3584" width="9.33203125" style="106"/>
    <col min="3585" max="3585" width="13.83203125" style="106" customWidth="1"/>
    <col min="3586" max="3586" width="79.1640625" style="106" customWidth="1"/>
    <col min="3587" max="3587" width="25" style="106" customWidth="1"/>
    <col min="3588" max="3840" width="9.33203125" style="106"/>
    <col min="3841" max="3841" width="13.83203125" style="106" customWidth="1"/>
    <col min="3842" max="3842" width="79.1640625" style="106" customWidth="1"/>
    <col min="3843" max="3843" width="25" style="106" customWidth="1"/>
    <col min="3844" max="4096" width="9.33203125" style="106"/>
    <col min="4097" max="4097" width="13.83203125" style="106" customWidth="1"/>
    <col min="4098" max="4098" width="79.1640625" style="106" customWidth="1"/>
    <col min="4099" max="4099" width="25" style="106" customWidth="1"/>
    <col min="4100" max="4352" width="9.33203125" style="106"/>
    <col min="4353" max="4353" width="13.83203125" style="106" customWidth="1"/>
    <col min="4354" max="4354" width="79.1640625" style="106" customWidth="1"/>
    <col min="4355" max="4355" width="25" style="106" customWidth="1"/>
    <col min="4356" max="4608" width="9.33203125" style="106"/>
    <col min="4609" max="4609" width="13.83203125" style="106" customWidth="1"/>
    <col min="4610" max="4610" width="79.1640625" style="106" customWidth="1"/>
    <col min="4611" max="4611" width="25" style="106" customWidth="1"/>
    <col min="4612" max="4864" width="9.33203125" style="106"/>
    <col min="4865" max="4865" width="13.83203125" style="106" customWidth="1"/>
    <col min="4866" max="4866" width="79.1640625" style="106" customWidth="1"/>
    <col min="4867" max="4867" width="25" style="106" customWidth="1"/>
    <col min="4868" max="5120" width="9.33203125" style="106"/>
    <col min="5121" max="5121" width="13.83203125" style="106" customWidth="1"/>
    <col min="5122" max="5122" width="79.1640625" style="106" customWidth="1"/>
    <col min="5123" max="5123" width="25" style="106" customWidth="1"/>
    <col min="5124" max="5376" width="9.33203125" style="106"/>
    <col min="5377" max="5377" width="13.83203125" style="106" customWidth="1"/>
    <col min="5378" max="5378" width="79.1640625" style="106" customWidth="1"/>
    <col min="5379" max="5379" width="25" style="106" customWidth="1"/>
    <col min="5380" max="5632" width="9.33203125" style="106"/>
    <col min="5633" max="5633" width="13.83203125" style="106" customWidth="1"/>
    <col min="5634" max="5634" width="79.1640625" style="106" customWidth="1"/>
    <col min="5635" max="5635" width="25" style="106" customWidth="1"/>
    <col min="5636" max="5888" width="9.33203125" style="106"/>
    <col min="5889" max="5889" width="13.83203125" style="106" customWidth="1"/>
    <col min="5890" max="5890" width="79.1640625" style="106" customWidth="1"/>
    <col min="5891" max="5891" width="25" style="106" customWidth="1"/>
    <col min="5892" max="6144" width="9.33203125" style="106"/>
    <col min="6145" max="6145" width="13.83203125" style="106" customWidth="1"/>
    <col min="6146" max="6146" width="79.1640625" style="106" customWidth="1"/>
    <col min="6147" max="6147" width="25" style="106" customWidth="1"/>
    <col min="6148" max="6400" width="9.33203125" style="106"/>
    <col min="6401" max="6401" width="13.83203125" style="106" customWidth="1"/>
    <col min="6402" max="6402" width="79.1640625" style="106" customWidth="1"/>
    <col min="6403" max="6403" width="25" style="106" customWidth="1"/>
    <col min="6404" max="6656" width="9.33203125" style="106"/>
    <col min="6657" max="6657" width="13.83203125" style="106" customWidth="1"/>
    <col min="6658" max="6658" width="79.1640625" style="106" customWidth="1"/>
    <col min="6659" max="6659" width="25" style="106" customWidth="1"/>
    <col min="6660" max="6912" width="9.33203125" style="106"/>
    <col min="6913" max="6913" width="13.83203125" style="106" customWidth="1"/>
    <col min="6914" max="6914" width="79.1640625" style="106" customWidth="1"/>
    <col min="6915" max="6915" width="25" style="106" customWidth="1"/>
    <col min="6916" max="7168" width="9.33203125" style="106"/>
    <col min="7169" max="7169" width="13.83203125" style="106" customWidth="1"/>
    <col min="7170" max="7170" width="79.1640625" style="106" customWidth="1"/>
    <col min="7171" max="7171" width="25" style="106" customWidth="1"/>
    <col min="7172" max="7424" width="9.33203125" style="106"/>
    <col min="7425" max="7425" width="13.83203125" style="106" customWidth="1"/>
    <col min="7426" max="7426" width="79.1640625" style="106" customWidth="1"/>
    <col min="7427" max="7427" width="25" style="106" customWidth="1"/>
    <col min="7428" max="7680" width="9.33203125" style="106"/>
    <col min="7681" max="7681" width="13.83203125" style="106" customWidth="1"/>
    <col min="7682" max="7682" width="79.1640625" style="106" customWidth="1"/>
    <col min="7683" max="7683" width="25" style="106" customWidth="1"/>
    <col min="7684" max="7936" width="9.33203125" style="106"/>
    <col min="7937" max="7937" width="13.83203125" style="106" customWidth="1"/>
    <col min="7938" max="7938" width="79.1640625" style="106" customWidth="1"/>
    <col min="7939" max="7939" width="25" style="106" customWidth="1"/>
    <col min="7940" max="8192" width="9.33203125" style="106"/>
    <col min="8193" max="8193" width="13.83203125" style="106" customWidth="1"/>
    <col min="8194" max="8194" width="79.1640625" style="106" customWidth="1"/>
    <col min="8195" max="8195" width="25" style="106" customWidth="1"/>
    <col min="8196" max="8448" width="9.33203125" style="106"/>
    <col min="8449" max="8449" width="13.83203125" style="106" customWidth="1"/>
    <col min="8450" max="8450" width="79.1640625" style="106" customWidth="1"/>
    <col min="8451" max="8451" width="25" style="106" customWidth="1"/>
    <col min="8452" max="8704" width="9.33203125" style="106"/>
    <col min="8705" max="8705" width="13.83203125" style="106" customWidth="1"/>
    <col min="8706" max="8706" width="79.1640625" style="106" customWidth="1"/>
    <col min="8707" max="8707" width="25" style="106" customWidth="1"/>
    <col min="8708" max="8960" width="9.33203125" style="106"/>
    <col min="8961" max="8961" width="13.83203125" style="106" customWidth="1"/>
    <col min="8962" max="8962" width="79.1640625" style="106" customWidth="1"/>
    <col min="8963" max="8963" width="25" style="106" customWidth="1"/>
    <col min="8964" max="9216" width="9.33203125" style="106"/>
    <col min="9217" max="9217" width="13.83203125" style="106" customWidth="1"/>
    <col min="9218" max="9218" width="79.1640625" style="106" customWidth="1"/>
    <col min="9219" max="9219" width="25" style="106" customWidth="1"/>
    <col min="9220" max="9472" width="9.33203125" style="106"/>
    <col min="9473" max="9473" width="13.83203125" style="106" customWidth="1"/>
    <col min="9474" max="9474" width="79.1640625" style="106" customWidth="1"/>
    <col min="9475" max="9475" width="25" style="106" customWidth="1"/>
    <col min="9476" max="9728" width="9.33203125" style="106"/>
    <col min="9729" max="9729" width="13.83203125" style="106" customWidth="1"/>
    <col min="9730" max="9730" width="79.1640625" style="106" customWidth="1"/>
    <col min="9731" max="9731" width="25" style="106" customWidth="1"/>
    <col min="9732" max="9984" width="9.33203125" style="106"/>
    <col min="9985" max="9985" width="13.83203125" style="106" customWidth="1"/>
    <col min="9986" max="9986" width="79.1640625" style="106" customWidth="1"/>
    <col min="9987" max="9987" width="25" style="106" customWidth="1"/>
    <col min="9988" max="10240" width="9.33203125" style="106"/>
    <col min="10241" max="10241" width="13.83203125" style="106" customWidth="1"/>
    <col min="10242" max="10242" width="79.1640625" style="106" customWidth="1"/>
    <col min="10243" max="10243" width="25" style="106" customWidth="1"/>
    <col min="10244" max="10496" width="9.33203125" style="106"/>
    <col min="10497" max="10497" width="13.83203125" style="106" customWidth="1"/>
    <col min="10498" max="10498" width="79.1640625" style="106" customWidth="1"/>
    <col min="10499" max="10499" width="25" style="106" customWidth="1"/>
    <col min="10500" max="10752" width="9.33203125" style="106"/>
    <col min="10753" max="10753" width="13.83203125" style="106" customWidth="1"/>
    <col min="10754" max="10754" width="79.1640625" style="106" customWidth="1"/>
    <col min="10755" max="10755" width="25" style="106" customWidth="1"/>
    <col min="10756" max="11008" width="9.33203125" style="106"/>
    <col min="11009" max="11009" width="13.83203125" style="106" customWidth="1"/>
    <col min="11010" max="11010" width="79.1640625" style="106" customWidth="1"/>
    <col min="11011" max="11011" width="25" style="106" customWidth="1"/>
    <col min="11012" max="11264" width="9.33203125" style="106"/>
    <col min="11265" max="11265" width="13.83203125" style="106" customWidth="1"/>
    <col min="11266" max="11266" width="79.1640625" style="106" customWidth="1"/>
    <col min="11267" max="11267" width="25" style="106" customWidth="1"/>
    <col min="11268" max="11520" width="9.33203125" style="106"/>
    <col min="11521" max="11521" width="13.83203125" style="106" customWidth="1"/>
    <col min="11522" max="11522" width="79.1640625" style="106" customWidth="1"/>
    <col min="11523" max="11523" width="25" style="106" customWidth="1"/>
    <col min="11524" max="11776" width="9.33203125" style="106"/>
    <col min="11777" max="11777" width="13.83203125" style="106" customWidth="1"/>
    <col min="11778" max="11778" width="79.1640625" style="106" customWidth="1"/>
    <col min="11779" max="11779" width="25" style="106" customWidth="1"/>
    <col min="11780" max="12032" width="9.33203125" style="106"/>
    <col min="12033" max="12033" width="13.83203125" style="106" customWidth="1"/>
    <col min="12034" max="12034" width="79.1640625" style="106" customWidth="1"/>
    <col min="12035" max="12035" width="25" style="106" customWidth="1"/>
    <col min="12036" max="12288" width="9.33203125" style="106"/>
    <col min="12289" max="12289" width="13.83203125" style="106" customWidth="1"/>
    <col min="12290" max="12290" width="79.1640625" style="106" customWidth="1"/>
    <col min="12291" max="12291" width="25" style="106" customWidth="1"/>
    <col min="12292" max="12544" width="9.33203125" style="106"/>
    <col min="12545" max="12545" width="13.83203125" style="106" customWidth="1"/>
    <col min="12546" max="12546" width="79.1640625" style="106" customWidth="1"/>
    <col min="12547" max="12547" width="25" style="106" customWidth="1"/>
    <col min="12548" max="12800" width="9.33203125" style="106"/>
    <col min="12801" max="12801" width="13.83203125" style="106" customWidth="1"/>
    <col min="12802" max="12802" width="79.1640625" style="106" customWidth="1"/>
    <col min="12803" max="12803" width="25" style="106" customWidth="1"/>
    <col min="12804" max="13056" width="9.33203125" style="106"/>
    <col min="13057" max="13057" width="13.83203125" style="106" customWidth="1"/>
    <col min="13058" max="13058" width="79.1640625" style="106" customWidth="1"/>
    <col min="13059" max="13059" width="25" style="106" customWidth="1"/>
    <col min="13060" max="13312" width="9.33203125" style="106"/>
    <col min="13313" max="13313" width="13.83203125" style="106" customWidth="1"/>
    <col min="13314" max="13314" width="79.1640625" style="106" customWidth="1"/>
    <col min="13315" max="13315" width="25" style="106" customWidth="1"/>
    <col min="13316" max="13568" width="9.33203125" style="106"/>
    <col min="13569" max="13569" width="13.83203125" style="106" customWidth="1"/>
    <col min="13570" max="13570" width="79.1640625" style="106" customWidth="1"/>
    <col min="13571" max="13571" width="25" style="106" customWidth="1"/>
    <col min="13572" max="13824" width="9.33203125" style="106"/>
    <col min="13825" max="13825" width="13.83203125" style="106" customWidth="1"/>
    <col min="13826" max="13826" width="79.1640625" style="106" customWidth="1"/>
    <col min="13827" max="13827" width="25" style="106" customWidth="1"/>
    <col min="13828" max="14080" width="9.33203125" style="106"/>
    <col min="14081" max="14081" width="13.83203125" style="106" customWidth="1"/>
    <col min="14082" max="14082" width="79.1640625" style="106" customWidth="1"/>
    <col min="14083" max="14083" width="25" style="106" customWidth="1"/>
    <col min="14084" max="14336" width="9.33203125" style="106"/>
    <col min="14337" max="14337" width="13.83203125" style="106" customWidth="1"/>
    <col min="14338" max="14338" width="79.1640625" style="106" customWidth="1"/>
    <col min="14339" max="14339" width="25" style="106" customWidth="1"/>
    <col min="14340" max="14592" width="9.33203125" style="106"/>
    <col min="14593" max="14593" width="13.83203125" style="106" customWidth="1"/>
    <col min="14594" max="14594" width="79.1640625" style="106" customWidth="1"/>
    <col min="14595" max="14595" width="25" style="106" customWidth="1"/>
    <col min="14596" max="14848" width="9.33203125" style="106"/>
    <col min="14849" max="14849" width="13.83203125" style="106" customWidth="1"/>
    <col min="14850" max="14850" width="79.1640625" style="106" customWidth="1"/>
    <col min="14851" max="14851" width="25" style="106" customWidth="1"/>
    <col min="14852" max="15104" width="9.33203125" style="106"/>
    <col min="15105" max="15105" width="13.83203125" style="106" customWidth="1"/>
    <col min="15106" max="15106" width="79.1640625" style="106" customWidth="1"/>
    <col min="15107" max="15107" width="25" style="106" customWidth="1"/>
    <col min="15108" max="15360" width="9.33203125" style="106"/>
    <col min="15361" max="15361" width="13.83203125" style="106" customWidth="1"/>
    <col min="15362" max="15362" width="79.1640625" style="106" customWidth="1"/>
    <col min="15363" max="15363" width="25" style="106" customWidth="1"/>
    <col min="15364" max="15616" width="9.33203125" style="106"/>
    <col min="15617" max="15617" width="13.83203125" style="106" customWidth="1"/>
    <col min="15618" max="15618" width="79.1640625" style="106" customWidth="1"/>
    <col min="15619" max="15619" width="25" style="106" customWidth="1"/>
    <col min="15620" max="15872" width="9.33203125" style="106"/>
    <col min="15873" max="15873" width="13.83203125" style="106" customWidth="1"/>
    <col min="15874" max="15874" width="79.1640625" style="106" customWidth="1"/>
    <col min="15875" max="15875" width="25" style="106" customWidth="1"/>
    <col min="15876" max="16128" width="9.33203125" style="106"/>
    <col min="16129" max="16129" width="13.83203125" style="106" customWidth="1"/>
    <col min="16130" max="16130" width="79.1640625" style="106" customWidth="1"/>
    <col min="16131" max="16131" width="25" style="106" customWidth="1"/>
    <col min="16132" max="16384" width="9.33203125" style="106"/>
  </cols>
  <sheetData>
    <row r="1" spans="1:3" s="926" customFormat="1" ht="21" customHeight="1" thickBot="1" x14ac:dyDescent="0.25">
      <c r="A1" s="947"/>
      <c r="B1" s="948"/>
      <c r="C1" s="975"/>
    </row>
    <row r="2" spans="1:3" s="928" customFormat="1" ht="36" customHeight="1" x14ac:dyDescent="0.2">
      <c r="A2" s="967" t="s">
        <v>158</v>
      </c>
      <c r="B2" s="965" t="s">
        <v>533</v>
      </c>
      <c r="C2" s="976" t="s">
        <v>62</v>
      </c>
    </row>
    <row r="3" spans="1:3" s="928" customFormat="1" ht="24.75" thickBot="1" x14ac:dyDescent="0.25">
      <c r="A3" s="969" t="s">
        <v>157</v>
      </c>
      <c r="B3" s="966" t="s">
        <v>354</v>
      </c>
      <c r="C3" s="977" t="s">
        <v>54</v>
      </c>
    </row>
    <row r="4" spans="1:3" s="929" customFormat="1" ht="15.95" customHeight="1" thickBot="1" x14ac:dyDescent="0.3">
      <c r="A4" s="949"/>
      <c r="B4" s="949"/>
      <c r="C4" s="978" t="s">
        <v>553</v>
      </c>
    </row>
    <row r="5" spans="1:3" ht="13.5" thickBot="1" x14ac:dyDescent="0.25">
      <c r="A5" s="968" t="s">
        <v>159</v>
      </c>
      <c r="B5" s="950" t="s">
        <v>55</v>
      </c>
      <c r="C5" s="979" t="s">
        <v>56</v>
      </c>
    </row>
    <row r="6" spans="1:3" s="930" customFormat="1" ht="12.95" customHeight="1" thickBot="1" x14ac:dyDescent="0.25">
      <c r="A6" s="944" t="s">
        <v>443</v>
      </c>
      <c r="B6" s="945" t="s">
        <v>444</v>
      </c>
      <c r="C6" s="980" t="s">
        <v>445</v>
      </c>
    </row>
    <row r="7" spans="1:3" s="930" customFormat="1" ht="15.95" customHeight="1" thickBot="1" x14ac:dyDescent="0.25">
      <c r="A7" s="951"/>
      <c r="B7" s="952" t="s">
        <v>57</v>
      </c>
      <c r="C7" s="981"/>
    </row>
    <row r="8" spans="1:3" s="927" customFormat="1" ht="12" customHeight="1" thickBot="1" x14ac:dyDescent="0.25">
      <c r="A8" s="944" t="s">
        <v>19</v>
      </c>
      <c r="B8" s="953" t="s">
        <v>519</v>
      </c>
      <c r="C8" s="998">
        <f>SUM(C9:C19)</f>
        <v>1319815</v>
      </c>
    </row>
    <row r="9" spans="1:3" s="927" customFormat="1" ht="12" customHeight="1" x14ac:dyDescent="0.2">
      <c r="A9" s="970" t="s">
        <v>95</v>
      </c>
      <c r="B9" s="941" t="s">
        <v>212</v>
      </c>
      <c r="C9" s="983"/>
    </row>
    <row r="10" spans="1:3" s="927" customFormat="1" ht="12" customHeight="1" x14ac:dyDescent="0.2">
      <c r="A10" s="971" t="s">
        <v>96</v>
      </c>
      <c r="B10" s="939" t="s">
        <v>213</v>
      </c>
      <c r="C10" s="984"/>
    </row>
    <row r="11" spans="1:3" s="927" customFormat="1" ht="12" customHeight="1" x14ac:dyDescent="0.2">
      <c r="A11" s="971" t="s">
        <v>97</v>
      </c>
      <c r="B11" s="939" t="s">
        <v>214</v>
      </c>
      <c r="C11" s="984"/>
    </row>
    <row r="12" spans="1:3" s="927" customFormat="1" ht="12" customHeight="1" x14ac:dyDescent="0.2">
      <c r="A12" s="971" t="s">
        <v>98</v>
      </c>
      <c r="B12" s="939" t="s">
        <v>215</v>
      </c>
      <c r="C12" s="984"/>
    </row>
    <row r="13" spans="1:3" s="927" customFormat="1" ht="12" customHeight="1" x14ac:dyDescent="0.2">
      <c r="A13" s="971" t="s">
        <v>121</v>
      </c>
      <c r="B13" s="939" t="s">
        <v>216</v>
      </c>
      <c r="C13" s="1018">
        <f>708995+191429+325000</f>
        <v>1225424</v>
      </c>
    </row>
    <row r="14" spans="1:3" s="927" customFormat="1" ht="12" customHeight="1" x14ac:dyDescent="0.2">
      <c r="A14" s="971" t="s">
        <v>99</v>
      </c>
      <c r="B14" s="939" t="s">
        <v>337</v>
      </c>
      <c r="C14" s="680">
        <f>191429-191429</f>
        <v>0</v>
      </c>
    </row>
    <row r="15" spans="1:3" s="927" customFormat="1" ht="12" customHeight="1" x14ac:dyDescent="0.2">
      <c r="A15" s="971" t="s">
        <v>100</v>
      </c>
      <c r="B15" s="938" t="s">
        <v>338</v>
      </c>
      <c r="C15" s="984"/>
    </row>
    <row r="16" spans="1:3" s="927" customFormat="1" ht="12" customHeight="1" x14ac:dyDescent="0.2">
      <c r="A16" s="971" t="s">
        <v>110</v>
      </c>
      <c r="B16" s="939" t="s">
        <v>219</v>
      </c>
      <c r="C16" s="985"/>
    </row>
    <row r="17" spans="1:3" s="931" customFormat="1" ht="12" customHeight="1" x14ac:dyDescent="0.2">
      <c r="A17" s="971" t="s">
        <v>111</v>
      </c>
      <c r="B17" s="939" t="s">
        <v>220</v>
      </c>
      <c r="C17" s="984"/>
    </row>
    <row r="18" spans="1:3" s="931" customFormat="1" ht="12" customHeight="1" x14ac:dyDescent="0.2">
      <c r="A18" s="971" t="s">
        <v>112</v>
      </c>
      <c r="B18" s="939" t="s">
        <v>449</v>
      </c>
      <c r="C18" s="986"/>
    </row>
    <row r="19" spans="1:3" s="931" customFormat="1" ht="12" customHeight="1" thickBot="1" x14ac:dyDescent="0.25">
      <c r="A19" s="971" t="s">
        <v>113</v>
      </c>
      <c r="B19" s="938" t="s">
        <v>221</v>
      </c>
      <c r="C19" s="1107">
        <f>27424+26967+40000</f>
        <v>94391</v>
      </c>
    </row>
    <row r="20" spans="1:3" s="927" customFormat="1" ht="12" customHeight="1" thickBot="1" x14ac:dyDescent="0.25">
      <c r="A20" s="944" t="s">
        <v>20</v>
      </c>
      <c r="B20" s="953" t="s">
        <v>339</v>
      </c>
      <c r="C20" s="982">
        <f>SUM(C21:C23)</f>
        <v>1631175</v>
      </c>
    </row>
    <row r="21" spans="1:3" s="931" customFormat="1" ht="12" customHeight="1" x14ac:dyDescent="0.2">
      <c r="A21" s="971" t="s">
        <v>101</v>
      </c>
      <c r="B21" s="940" t="s">
        <v>190</v>
      </c>
      <c r="C21" s="987"/>
    </row>
    <row r="22" spans="1:3" s="931" customFormat="1" ht="12" customHeight="1" x14ac:dyDescent="0.2">
      <c r="A22" s="971" t="s">
        <v>102</v>
      </c>
      <c r="B22" s="939" t="s">
        <v>340</v>
      </c>
      <c r="C22" s="984"/>
    </row>
    <row r="23" spans="1:3" s="931" customFormat="1" ht="12" customHeight="1" x14ac:dyDescent="0.2">
      <c r="A23" s="971" t="s">
        <v>103</v>
      </c>
      <c r="B23" s="939" t="s">
        <v>341</v>
      </c>
      <c r="C23" s="984">
        <v>1631175</v>
      </c>
    </row>
    <row r="24" spans="1:3" s="931" customFormat="1" ht="12" customHeight="1" thickBot="1" x14ac:dyDescent="0.25">
      <c r="A24" s="971" t="s">
        <v>104</v>
      </c>
      <c r="B24" s="939" t="s">
        <v>520</v>
      </c>
      <c r="C24" s="984">
        <v>1631175</v>
      </c>
    </row>
    <row r="25" spans="1:3" s="931" customFormat="1" ht="12" customHeight="1" thickBot="1" x14ac:dyDescent="0.25">
      <c r="A25" s="946" t="s">
        <v>21</v>
      </c>
      <c r="B25" s="942" t="s">
        <v>135</v>
      </c>
      <c r="C25" s="988"/>
    </row>
    <row r="26" spans="1:3" s="931" customFormat="1" ht="12" customHeight="1" thickBot="1" x14ac:dyDescent="0.25">
      <c r="A26" s="946" t="s">
        <v>22</v>
      </c>
      <c r="B26" s="942" t="s">
        <v>521</v>
      </c>
      <c r="C26" s="982">
        <f>+C27+C28+C29</f>
        <v>0</v>
      </c>
    </row>
    <row r="27" spans="1:3" s="931" customFormat="1" ht="12" customHeight="1" x14ac:dyDescent="0.2">
      <c r="A27" s="972" t="s">
        <v>200</v>
      </c>
      <c r="B27" s="973" t="s">
        <v>195</v>
      </c>
      <c r="C27" s="989"/>
    </row>
    <row r="28" spans="1:3" s="931" customFormat="1" ht="12" customHeight="1" x14ac:dyDescent="0.2">
      <c r="A28" s="972" t="s">
        <v>203</v>
      </c>
      <c r="B28" s="973" t="s">
        <v>340</v>
      </c>
      <c r="C28" s="987"/>
    </row>
    <row r="29" spans="1:3" s="931" customFormat="1" ht="12" customHeight="1" x14ac:dyDescent="0.2">
      <c r="A29" s="972" t="s">
        <v>204</v>
      </c>
      <c r="B29" s="974" t="s">
        <v>342</v>
      </c>
      <c r="C29" s="987"/>
    </row>
    <row r="30" spans="1:3" s="931" customFormat="1" ht="12" customHeight="1" thickBot="1" x14ac:dyDescent="0.25">
      <c r="A30" s="971" t="s">
        <v>205</v>
      </c>
      <c r="B30" s="943" t="s">
        <v>522</v>
      </c>
      <c r="C30" s="990"/>
    </row>
    <row r="31" spans="1:3" s="931" customFormat="1" ht="12" customHeight="1" thickBot="1" x14ac:dyDescent="0.25">
      <c r="A31" s="946" t="s">
        <v>23</v>
      </c>
      <c r="B31" s="942" t="s">
        <v>343</v>
      </c>
      <c r="C31" s="982">
        <f>+C32+C33+C34</f>
        <v>0</v>
      </c>
    </row>
    <row r="32" spans="1:3" s="931" customFormat="1" ht="12" customHeight="1" x14ac:dyDescent="0.2">
      <c r="A32" s="972" t="s">
        <v>88</v>
      </c>
      <c r="B32" s="973" t="s">
        <v>226</v>
      </c>
      <c r="C32" s="989"/>
    </row>
    <row r="33" spans="1:3" s="931" customFormat="1" ht="12" customHeight="1" x14ac:dyDescent="0.2">
      <c r="A33" s="972" t="s">
        <v>89</v>
      </c>
      <c r="B33" s="974" t="s">
        <v>227</v>
      </c>
      <c r="C33" s="985"/>
    </row>
    <row r="34" spans="1:3" s="927" customFormat="1" ht="12" customHeight="1" thickBot="1" x14ac:dyDescent="0.25">
      <c r="A34" s="971" t="s">
        <v>90</v>
      </c>
      <c r="B34" s="943" t="s">
        <v>228</v>
      </c>
      <c r="C34" s="990"/>
    </row>
    <row r="35" spans="1:3" s="927" customFormat="1" ht="12" customHeight="1" thickBot="1" x14ac:dyDescent="0.25">
      <c r="A35" s="946" t="s">
        <v>24</v>
      </c>
      <c r="B35" s="942" t="s">
        <v>314</v>
      </c>
      <c r="C35" s="988"/>
    </row>
    <row r="36" spans="1:3" s="927" customFormat="1" ht="12" customHeight="1" thickBot="1" x14ac:dyDescent="0.25">
      <c r="A36" s="946" t="s">
        <v>25</v>
      </c>
      <c r="B36" s="942" t="s">
        <v>344</v>
      </c>
      <c r="C36" s="991"/>
    </row>
    <row r="37" spans="1:3" s="927" customFormat="1" ht="12" customHeight="1" thickBot="1" x14ac:dyDescent="0.25">
      <c r="A37" s="944" t="s">
        <v>26</v>
      </c>
      <c r="B37" s="942" t="s">
        <v>345</v>
      </c>
      <c r="C37" s="999">
        <f>+C8+C20+C25+C26+C31+C35+C36</f>
        <v>2950990</v>
      </c>
    </row>
    <row r="38" spans="1:3" s="927" customFormat="1" ht="12" customHeight="1" thickBot="1" x14ac:dyDescent="0.25">
      <c r="A38" s="954" t="s">
        <v>27</v>
      </c>
      <c r="B38" s="942" t="s">
        <v>346</v>
      </c>
      <c r="C38" s="999">
        <f>+C39+C40+C41</f>
        <v>91741189</v>
      </c>
    </row>
    <row r="39" spans="1:3" s="927" customFormat="1" ht="12" customHeight="1" x14ac:dyDescent="0.2">
      <c r="A39" s="972" t="s">
        <v>347</v>
      </c>
      <c r="B39" s="973" t="s">
        <v>172</v>
      </c>
      <c r="C39" s="989">
        <v>372804</v>
      </c>
    </row>
    <row r="40" spans="1:3" s="931" customFormat="1" ht="12" customHeight="1" x14ac:dyDescent="0.2">
      <c r="A40" s="972" t="s">
        <v>348</v>
      </c>
      <c r="B40" s="974" t="s">
        <v>10</v>
      </c>
      <c r="C40" s="985"/>
    </row>
    <row r="41" spans="1:3" s="931" customFormat="1" ht="15" customHeight="1" thickBot="1" x14ac:dyDescent="0.25">
      <c r="A41" s="971" t="s">
        <v>349</v>
      </c>
      <c r="B41" s="943" t="s">
        <v>350</v>
      </c>
      <c r="C41" s="1028">
        <f>91991548-534450+80000+1977287-2146000</f>
        <v>91368385</v>
      </c>
    </row>
    <row r="42" spans="1:3" s="931" customFormat="1" ht="15" customHeight="1" thickBot="1" x14ac:dyDescent="0.25">
      <c r="A42" s="954" t="s">
        <v>28</v>
      </c>
      <c r="B42" s="955" t="s">
        <v>351</v>
      </c>
      <c r="C42" s="999">
        <f>+C37+C38</f>
        <v>94692179</v>
      </c>
    </row>
    <row r="43" spans="1:3" x14ac:dyDescent="0.2">
      <c r="A43" s="956"/>
      <c r="B43" s="957"/>
      <c r="C43" s="994"/>
    </row>
    <row r="44" spans="1:3" s="930" customFormat="1" ht="16.5" customHeight="1" thickBot="1" x14ac:dyDescent="0.25">
      <c r="A44" s="958"/>
      <c r="B44" s="959"/>
      <c r="C44" s="995"/>
    </row>
    <row r="45" spans="1:3" s="932" customFormat="1" ht="12" customHeight="1" thickBot="1" x14ac:dyDescent="0.25">
      <c r="A45" s="960"/>
      <c r="B45" s="961" t="s">
        <v>58</v>
      </c>
      <c r="C45" s="993"/>
    </row>
    <row r="46" spans="1:3" ht="12" customHeight="1" thickBot="1" x14ac:dyDescent="0.25">
      <c r="A46" s="946" t="s">
        <v>19</v>
      </c>
      <c r="B46" s="942" t="s">
        <v>352</v>
      </c>
      <c r="C46" s="998">
        <f>SUM(C47:C51)</f>
        <v>92717129</v>
      </c>
    </row>
    <row r="47" spans="1:3" ht="12" customHeight="1" x14ac:dyDescent="0.2">
      <c r="A47" s="971" t="s">
        <v>95</v>
      </c>
      <c r="B47" s="940" t="s">
        <v>49</v>
      </c>
      <c r="C47" s="989">
        <f>64039486+1365000+22949+22950-40000+315819</f>
        <v>65726204</v>
      </c>
    </row>
    <row r="48" spans="1:3" ht="12" customHeight="1" x14ac:dyDescent="0.2">
      <c r="A48" s="971" t="s">
        <v>96</v>
      </c>
      <c r="B48" s="939" t="s">
        <v>144</v>
      </c>
      <c r="C48" s="984">
        <f>12834203+266175+4475-534450+4017-16284+55268</f>
        <v>12613404</v>
      </c>
    </row>
    <row r="49" spans="1:3" ht="12" customHeight="1" x14ac:dyDescent="0.2">
      <c r="A49" s="971" t="s">
        <v>97</v>
      </c>
      <c r="B49" s="939" t="s">
        <v>120</v>
      </c>
      <c r="C49" s="1018">
        <f>15749737-4000-63500+80000+56284+340000-600000-181000-1000000</f>
        <v>14377521</v>
      </c>
    </row>
    <row r="50" spans="1:3" ht="12" customHeight="1" x14ac:dyDescent="0.2">
      <c r="A50" s="971" t="s">
        <v>98</v>
      </c>
      <c r="B50" s="939" t="s">
        <v>145</v>
      </c>
      <c r="C50" s="680"/>
    </row>
    <row r="51" spans="1:3" ht="12" customHeight="1" thickBot="1" x14ac:dyDescent="0.25">
      <c r="A51" s="971" t="s">
        <v>121</v>
      </c>
      <c r="B51" s="939" t="s">
        <v>146</v>
      </c>
      <c r="C51" s="680"/>
    </row>
    <row r="52" spans="1:3" s="932" customFormat="1" ht="12" customHeight="1" thickBot="1" x14ac:dyDescent="0.25">
      <c r="A52" s="946" t="s">
        <v>20</v>
      </c>
      <c r="B52" s="942" t="s">
        <v>353</v>
      </c>
      <c r="C52" s="982">
        <f>SUM(C53:C55)</f>
        <v>1975050</v>
      </c>
    </row>
    <row r="53" spans="1:3" ht="12" customHeight="1" x14ac:dyDescent="0.2">
      <c r="A53" s="971" t="s">
        <v>101</v>
      </c>
      <c r="B53" s="940" t="s">
        <v>163</v>
      </c>
      <c r="C53" s="989">
        <f>641350+4000+63500+1266200</f>
        <v>1975050</v>
      </c>
    </row>
    <row r="54" spans="1:3" ht="12" customHeight="1" x14ac:dyDescent="0.2">
      <c r="A54" s="971" t="s">
        <v>102</v>
      </c>
      <c r="B54" s="939" t="s">
        <v>148</v>
      </c>
      <c r="C54" s="984"/>
    </row>
    <row r="55" spans="1:3" ht="12" customHeight="1" x14ac:dyDescent="0.2">
      <c r="A55" s="971" t="s">
        <v>103</v>
      </c>
      <c r="B55" s="939" t="s">
        <v>59</v>
      </c>
      <c r="C55" s="984"/>
    </row>
    <row r="56" spans="1:3" ht="15" customHeight="1" thickBot="1" x14ac:dyDescent="0.25">
      <c r="A56" s="971" t="s">
        <v>104</v>
      </c>
      <c r="B56" s="939" t="s">
        <v>523</v>
      </c>
      <c r="C56" s="984"/>
    </row>
    <row r="57" spans="1:3" ht="13.5" thickBot="1" x14ac:dyDescent="0.25">
      <c r="A57" s="946" t="s">
        <v>21</v>
      </c>
      <c r="B57" s="942" t="s">
        <v>13</v>
      </c>
      <c r="C57" s="988"/>
    </row>
    <row r="58" spans="1:3" ht="15" customHeight="1" thickBot="1" x14ac:dyDescent="0.25">
      <c r="A58" s="946" t="s">
        <v>22</v>
      </c>
      <c r="B58" s="962" t="s">
        <v>524</v>
      </c>
      <c r="C58" s="1000">
        <f>+C46+C52+C57</f>
        <v>94692179</v>
      </c>
    </row>
    <row r="59" spans="1:3" ht="14.25" customHeight="1" thickBot="1" x14ac:dyDescent="0.25">
      <c r="C59" s="996"/>
    </row>
    <row r="60" spans="1:3" x14ac:dyDescent="0.2">
      <c r="A60" s="753" t="s">
        <v>517</v>
      </c>
      <c r="B60" s="754"/>
      <c r="C60" s="755">
        <v>21</v>
      </c>
    </row>
    <row r="61" spans="1:3" ht="13.5" thickBot="1" x14ac:dyDescent="0.25">
      <c r="A61" s="1194" t="s">
        <v>779</v>
      </c>
      <c r="B61" s="1195"/>
      <c r="C61" s="771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4/2020.(II.28.)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theme="6"/>
  </sheetPr>
  <dimension ref="A1:C59"/>
  <sheetViews>
    <sheetView view="pageLayout" zoomScaleNormal="100" workbookViewId="0">
      <selection activeCell="B58" sqref="B58"/>
    </sheetView>
  </sheetViews>
  <sheetFormatPr defaultRowHeight="12.75" x14ac:dyDescent="0.2"/>
  <cols>
    <col min="1" max="1" width="13.83203125" style="937" customWidth="1"/>
    <col min="2" max="2" width="79.1640625" style="937" customWidth="1"/>
    <col min="3" max="3" width="25" style="937" customWidth="1"/>
    <col min="4" max="256" width="9.33203125" style="937"/>
    <col min="257" max="257" width="13.83203125" style="937" customWidth="1"/>
    <col min="258" max="258" width="79.1640625" style="937" customWidth="1"/>
    <col min="259" max="259" width="25" style="937" customWidth="1"/>
    <col min="260" max="512" width="9.33203125" style="937"/>
    <col min="513" max="513" width="13.83203125" style="937" customWidth="1"/>
    <col min="514" max="514" width="79.1640625" style="937" customWidth="1"/>
    <col min="515" max="515" width="25" style="937" customWidth="1"/>
    <col min="516" max="768" width="9.33203125" style="937"/>
    <col min="769" max="769" width="13.83203125" style="937" customWidth="1"/>
    <col min="770" max="770" width="79.1640625" style="937" customWidth="1"/>
    <col min="771" max="771" width="25" style="937" customWidth="1"/>
    <col min="772" max="1024" width="9.33203125" style="937"/>
    <col min="1025" max="1025" width="13.83203125" style="937" customWidth="1"/>
    <col min="1026" max="1026" width="79.1640625" style="937" customWidth="1"/>
    <col min="1027" max="1027" width="25" style="937" customWidth="1"/>
    <col min="1028" max="1280" width="9.33203125" style="937"/>
    <col min="1281" max="1281" width="13.83203125" style="937" customWidth="1"/>
    <col min="1282" max="1282" width="79.1640625" style="937" customWidth="1"/>
    <col min="1283" max="1283" width="25" style="937" customWidth="1"/>
    <col min="1284" max="1536" width="9.33203125" style="937"/>
    <col min="1537" max="1537" width="13.83203125" style="937" customWidth="1"/>
    <col min="1538" max="1538" width="79.1640625" style="937" customWidth="1"/>
    <col min="1539" max="1539" width="25" style="937" customWidth="1"/>
    <col min="1540" max="1792" width="9.33203125" style="937"/>
    <col min="1793" max="1793" width="13.83203125" style="937" customWidth="1"/>
    <col min="1794" max="1794" width="79.1640625" style="937" customWidth="1"/>
    <col min="1795" max="1795" width="25" style="937" customWidth="1"/>
    <col min="1796" max="2048" width="9.33203125" style="937"/>
    <col min="2049" max="2049" width="13.83203125" style="937" customWidth="1"/>
    <col min="2050" max="2050" width="79.1640625" style="937" customWidth="1"/>
    <col min="2051" max="2051" width="25" style="937" customWidth="1"/>
    <col min="2052" max="2304" width="9.33203125" style="937"/>
    <col min="2305" max="2305" width="13.83203125" style="937" customWidth="1"/>
    <col min="2306" max="2306" width="79.1640625" style="937" customWidth="1"/>
    <col min="2307" max="2307" width="25" style="937" customWidth="1"/>
    <col min="2308" max="2560" width="9.33203125" style="937"/>
    <col min="2561" max="2561" width="13.83203125" style="937" customWidth="1"/>
    <col min="2562" max="2562" width="79.1640625" style="937" customWidth="1"/>
    <col min="2563" max="2563" width="25" style="937" customWidth="1"/>
    <col min="2564" max="2816" width="9.33203125" style="937"/>
    <col min="2817" max="2817" width="13.83203125" style="937" customWidth="1"/>
    <col min="2818" max="2818" width="79.1640625" style="937" customWidth="1"/>
    <col min="2819" max="2819" width="25" style="937" customWidth="1"/>
    <col min="2820" max="3072" width="9.33203125" style="937"/>
    <col min="3073" max="3073" width="13.83203125" style="937" customWidth="1"/>
    <col min="3074" max="3074" width="79.1640625" style="937" customWidth="1"/>
    <col min="3075" max="3075" width="25" style="937" customWidth="1"/>
    <col min="3076" max="3328" width="9.33203125" style="937"/>
    <col min="3329" max="3329" width="13.83203125" style="937" customWidth="1"/>
    <col min="3330" max="3330" width="79.1640625" style="937" customWidth="1"/>
    <col min="3331" max="3331" width="25" style="937" customWidth="1"/>
    <col min="3332" max="3584" width="9.33203125" style="937"/>
    <col min="3585" max="3585" width="13.83203125" style="937" customWidth="1"/>
    <col min="3586" max="3586" width="79.1640625" style="937" customWidth="1"/>
    <col min="3587" max="3587" width="25" style="937" customWidth="1"/>
    <col min="3588" max="3840" width="9.33203125" style="937"/>
    <col min="3841" max="3841" width="13.83203125" style="937" customWidth="1"/>
    <col min="3842" max="3842" width="79.1640625" style="937" customWidth="1"/>
    <col min="3843" max="3843" width="25" style="937" customWidth="1"/>
    <col min="3844" max="4096" width="9.33203125" style="937"/>
    <col min="4097" max="4097" width="13.83203125" style="937" customWidth="1"/>
    <col min="4098" max="4098" width="79.1640625" style="937" customWidth="1"/>
    <col min="4099" max="4099" width="25" style="937" customWidth="1"/>
    <col min="4100" max="4352" width="9.33203125" style="937"/>
    <col min="4353" max="4353" width="13.83203125" style="937" customWidth="1"/>
    <col min="4354" max="4354" width="79.1640625" style="937" customWidth="1"/>
    <col min="4355" max="4355" width="25" style="937" customWidth="1"/>
    <col min="4356" max="4608" width="9.33203125" style="937"/>
    <col min="4609" max="4609" width="13.83203125" style="937" customWidth="1"/>
    <col min="4610" max="4610" width="79.1640625" style="937" customWidth="1"/>
    <col min="4611" max="4611" width="25" style="937" customWidth="1"/>
    <col min="4612" max="4864" width="9.33203125" style="937"/>
    <col min="4865" max="4865" width="13.83203125" style="937" customWidth="1"/>
    <col min="4866" max="4866" width="79.1640625" style="937" customWidth="1"/>
    <col min="4867" max="4867" width="25" style="937" customWidth="1"/>
    <col min="4868" max="5120" width="9.33203125" style="937"/>
    <col min="5121" max="5121" width="13.83203125" style="937" customWidth="1"/>
    <col min="5122" max="5122" width="79.1640625" style="937" customWidth="1"/>
    <col min="5123" max="5123" width="25" style="937" customWidth="1"/>
    <col min="5124" max="5376" width="9.33203125" style="937"/>
    <col min="5377" max="5377" width="13.83203125" style="937" customWidth="1"/>
    <col min="5378" max="5378" width="79.1640625" style="937" customWidth="1"/>
    <col min="5379" max="5379" width="25" style="937" customWidth="1"/>
    <col min="5380" max="5632" width="9.33203125" style="937"/>
    <col min="5633" max="5633" width="13.83203125" style="937" customWidth="1"/>
    <col min="5634" max="5634" width="79.1640625" style="937" customWidth="1"/>
    <col min="5635" max="5635" width="25" style="937" customWidth="1"/>
    <col min="5636" max="5888" width="9.33203125" style="937"/>
    <col min="5889" max="5889" width="13.83203125" style="937" customWidth="1"/>
    <col min="5890" max="5890" width="79.1640625" style="937" customWidth="1"/>
    <col min="5891" max="5891" width="25" style="937" customWidth="1"/>
    <col min="5892" max="6144" width="9.33203125" style="937"/>
    <col min="6145" max="6145" width="13.83203125" style="937" customWidth="1"/>
    <col min="6146" max="6146" width="79.1640625" style="937" customWidth="1"/>
    <col min="6147" max="6147" width="25" style="937" customWidth="1"/>
    <col min="6148" max="6400" width="9.33203125" style="937"/>
    <col min="6401" max="6401" width="13.83203125" style="937" customWidth="1"/>
    <col min="6402" max="6402" width="79.1640625" style="937" customWidth="1"/>
    <col min="6403" max="6403" width="25" style="937" customWidth="1"/>
    <col min="6404" max="6656" width="9.33203125" style="937"/>
    <col min="6657" max="6657" width="13.83203125" style="937" customWidth="1"/>
    <col min="6658" max="6658" width="79.1640625" style="937" customWidth="1"/>
    <col min="6659" max="6659" width="25" style="937" customWidth="1"/>
    <col min="6660" max="6912" width="9.33203125" style="937"/>
    <col min="6913" max="6913" width="13.83203125" style="937" customWidth="1"/>
    <col min="6914" max="6914" width="79.1640625" style="937" customWidth="1"/>
    <col min="6915" max="6915" width="25" style="937" customWidth="1"/>
    <col min="6916" max="7168" width="9.33203125" style="937"/>
    <col min="7169" max="7169" width="13.83203125" style="937" customWidth="1"/>
    <col min="7170" max="7170" width="79.1640625" style="937" customWidth="1"/>
    <col min="7171" max="7171" width="25" style="937" customWidth="1"/>
    <col min="7172" max="7424" width="9.33203125" style="937"/>
    <col min="7425" max="7425" width="13.83203125" style="937" customWidth="1"/>
    <col min="7426" max="7426" width="79.1640625" style="937" customWidth="1"/>
    <col min="7427" max="7427" width="25" style="937" customWidth="1"/>
    <col min="7428" max="7680" width="9.33203125" style="937"/>
    <col min="7681" max="7681" width="13.83203125" style="937" customWidth="1"/>
    <col min="7682" max="7682" width="79.1640625" style="937" customWidth="1"/>
    <col min="7683" max="7683" width="25" style="937" customWidth="1"/>
    <col min="7684" max="7936" width="9.33203125" style="937"/>
    <col min="7937" max="7937" width="13.83203125" style="937" customWidth="1"/>
    <col min="7938" max="7938" width="79.1640625" style="937" customWidth="1"/>
    <col min="7939" max="7939" width="25" style="937" customWidth="1"/>
    <col min="7940" max="8192" width="9.33203125" style="937"/>
    <col min="8193" max="8193" width="13.83203125" style="937" customWidth="1"/>
    <col min="8194" max="8194" width="79.1640625" style="937" customWidth="1"/>
    <col min="8195" max="8195" width="25" style="937" customWidth="1"/>
    <col min="8196" max="8448" width="9.33203125" style="937"/>
    <col min="8449" max="8449" width="13.83203125" style="937" customWidth="1"/>
    <col min="8450" max="8450" width="79.1640625" style="937" customWidth="1"/>
    <col min="8451" max="8451" width="25" style="937" customWidth="1"/>
    <col min="8452" max="8704" width="9.33203125" style="937"/>
    <col min="8705" max="8705" width="13.83203125" style="937" customWidth="1"/>
    <col min="8706" max="8706" width="79.1640625" style="937" customWidth="1"/>
    <col min="8707" max="8707" width="25" style="937" customWidth="1"/>
    <col min="8708" max="8960" width="9.33203125" style="937"/>
    <col min="8961" max="8961" width="13.83203125" style="937" customWidth="1"/>
    <col min="8962" max="8962" width="79.1640625" style="937" customWidth="1"/>
    <col min="8963" max="8963" width="25" style="937" customWidth="1"/>
    <col min="8964" max="9216" width="9.33203125" style="937"/>
    <col min="9217" max="9217" width="13.83203125" style="937" customWidth="1"/>
    <col min="9218" max="9218" width="79.1640625" style="937" customWidth="1"/>
    <col min="9219" max="9219" width="25" style="937" customWidth="1"/>
    <col min="9220" max="9472" width="9.33203125" style="937"/>
    <col min="9473" max="9473" width="13.83203125" style="937" customWidth="1"/>
    <col min="9474" max="9474" width="79.1640625" style="937" customWidth="1"/>
    <col min="9475" max="9475" width="25" style="937" customWidth="1"/>
    <col min="9476" max="9728" width="9.33203125" style="937"/>
    <col min="9729" max="9729" width="13.83203125" style="937" customWidth="1"/>
    <col min="9730" max="9730" width="79.1640625" style="937" customWidth="1"/>
    <col min="9731" max="9731" width="25" style="937" customWidth="1"/>
    <col min="9732" max="9984" width="9.33203125" style="937"/>
    <col min="9985" max="9985" width="13.83203125" style="937" customWidth="1"/>
    <col min="9986" max="9986" width="79.1640625" style="937" customWidth="1"/>
    <col min="9987" max="9987" width="25" style="937" customWidth="1"/>
    <col min="9988" max="10240" width="9.33203125" style="937"/>
    <col min="10241" max="10241" width="13.83203125" style="937" customWidth="1"/>
    <col min="10242" max="10242" width="79.1640625" style="937" customWidth="1"/>
    <col min="10243" max="10243" width="25" style="937" customWidth="1"/>
    <col min="10244" max="10496" width="9.33203125" style="937"/>
    <col min="10497" max="10497" width="13.83203125" style="937" customWidth="1"/>
    <col min="10498" max="10498" width="79.1640625" style="937" customWidth="1"/>
    <col min="10499" max="10499" width="25" style="937" customWidth="1"/>
    <col min="10500" max="10752" width="9.33203125" style="937"/>
    <col min="10753" max="10753" width="13.83203125" style="937" customWidth="1"/>
    <col min="10754" max="10754" width="79.1640625" style="937" customWidth="1"/>
    <col min="10755" max="10755" width="25" style="937" customWidth="1"/>
    <col min="10756" max="11008" width="9.33203125" style="937"/>
    <col min="11009" max="11009" width="13.83203125" style="937" customWidth="1"/>
    <col min="11010" max="11010" width="79.1640625" style="937" customWidth="1"/>
    <col min="11011" max="11011" width="25" style="937" customWidth="1"/>
    <col min="11012" max="11264" width="9.33203125" style="937"/>
    <col min="11265" max="11265" width="13.83203125" style="937" customWidth="1"/>
    <col min="11266" max="11266" width="79.1640625" style="937" customWidth="1"/>
    <col min="11267" max="11267" width="25" style="937" customWidth="1"/>
    <col min="11268" max="11520" width="9.33203125" style="937"/>
    <col min="11521" max="11521" width="13.83203125" style="937" customWidth="1"/>
    <col min="11522" max="11522" width="79.1640625" style="937" customWidth="1"/>
    <col min="11523" max="11523" width="25" style="937" customWidth="1"/>
    <col min="11524" max="11776" width="9.33203125" style="937"/>
    <col min="11777" max="11777" width="13.83203125" style="937" customWidth="1"/>
    <col min="11778" max="11778" width="79.1640625" style="937" customWidth="1"/>
    <col min="11779" max="11779" width="25" style="937" customWidth="1"/>
    <col min="11780" max="12032" width="9.33203125" style="937"/>
    <col min="12033" max="12033" width="13.83203125" style="937" customWidth="1"/>
    <col min="12034" max="12034" width="79.1640625" style="937" customWidth="1"/>
    <col min="12035" max="12035" width="25" style="937" customWidth="1"/>
    <col min="12036" max="12288" width="9.33203125" style="937"/>
    <col min="12289" max="12289" width="13.83203125" style="937" customWidth="1"/>
    <col min="12290" max="12290" width="79.1640625" style="937" customWidth="1"/>
    <col min="12291" max="12291" width="25" style="937" customWidth="1"/>
    <col min="12292" max="12544" width="9.33203125" style="937"/>
    <col min="12545" max="12545" width="13.83203125" style="937" customWidth="1"/>
    <col min="12546" max="12546" width="79.1640625" style="937" customWidth="1"/>
    <col min="12547" max="12547" width="25" style="937" customWidth="1"/>
    <col min="12548" max="12800" width="9.33203125" style="937"/>
    <col min="12801" max="12801" width="13.83203125" style="937" customWidth="1"/>
    <col min="12802" max="12802" width="79.1640625" style="937" customWidth="1"/>
    <col min="12803" max="12803" width="25" style="937" customWidth="1"/>
    <col min="12804" max="13056" width="9.33203125" style="937"/>
    <col min="13057" max="13057" width="13.83203125" style="937" customWidth="1"/>
    <col min="13058" max="13058" width="79.1640625" style="937" customWidth="1"/>
    <col min="13059" max="13059" width="25" style="937" customWidth="1"/>
    <col min="13060" max="13312" width="9.33203125" style="937"/>
    <col min="13313" max="13313" width="13.83203125" style="937" customWidth="1"/>
    <col min="13314" max="13314" width="79.1640625" style="937" customWidth="1"/>
    <col min="13315" max="13315" width="25" style="937" customWidth="1"/>
    <col min="13316" max="13568" width="9.33203125" style="937"/>
    <col min="13569" max="13569" width="13.83203125" style="937" customWidth="1"/>
    <col min="13570" max="13570" width="79.1640625" style="937" customWidth="1"/>
    <col min="13571" max="13571" width="25" style="937" customWidth="1"/>
    <col min="13572" max="13824" width="9.33203125" style="937"/>
    <col min="13825" max="13825" width="13.83203125" style="937" customWidth="1"/>
    <col min="13826" max="13826" width="79.1640625" style="937" customWidth="1"/>
    <col min="13827" max="13827" width="25" style="937" customWidth="1"/>
    <col min="13828" max="14080" width="9.33203125" style="937"/>
    <col min="14081" max="14081" width="13.83203125" style="937" customWidth="1"/>
    <col min="14082" max="14082" width="79.1640625" style="937" customWidth="1"/>
    <col min="14083" max="14083" width="25" style="937" customWidth="1"/>
    <col min="14084" max="14336" width="9.33203125" style="937"/>
    <col min="14337" max="14337" width="13.83203125" style="937" customWidth="1"/>
    <col min="14338" max="14338" width="79.1640625" style="937" customWidth="1"/>
    <col min="14339" max="14339" width="25" style="937" customWidth="1"/>
    <col min="14340" max="14592" width="9.33203125" style="937"/>
    <col min="14593" max="14593" width="13.83203125" style="937" customWidth="1"/>
    <col min="14594" max="14594" width="79.1640625" style="937" customWidth="1"/>
    <col min="14595" max="14595" width="25" style="937" customWidth="1"/>
    <col min="14596" max="14848" width="9.33203125" style="937"/>
    <col min="14849" max="14849" width="13.83203125" style="937" customWidth="1"/>
    <col min="14850" max="14850" width="79.1640625" style="937" customWidth="1"/>
    <col min="14851" max="14851" width="25" style="937" customWidth="1"/>
    <col min="14852" max="15104" width="9.33203125" style="937"/>
    <col min="15105" max="15105" width="13.83203125" style="937" customWidth="1"/>
    <col min="15106" max="15106" width="79.1640625" style="937" customWidth="1"/>
    <col min="15107" max="15107" width="25" style="937" customWidth="1"/>
    <col min="15108" max="15360" width="9.33203125" style="937"/>
    <col min="15361" max="15361" width="13.83203125" style="937" customWidth="1"/>
    <col min="15362" max="15362" width="79.1640625" style="937" customWidth="1"/>
    <col min="15363" max="15363" width="25" style="937" customWidth="1"/>
    <col min="15364" max="15616" width="9.33203125" style="937"/>
    <col min="15617" max="15617" width="13.83203125" style="937" customWidth="1"/>
    <col min="15618" max="15618" width="79.1640625" style="937" customWidth="1"/>
    <col min="15619" max="15619" width="25" style="937" customWidth="1"/>
    <col min="15620" max="15872" width="9.33203125" style="937"/>
    <col min="15873" max="15873" width="13.83203125" style="937" customWidth="1"/>
    <col min="15874" max="15874" width="79.1640625" style="937" customWidth="1"/>
    <col min="15875" max="15875" width="25" style="937" customWidth="1"/>
    <col min="15876" max="16128" width="9.33203125" style="937"/>
    <col min="16129" max="16129" width="13.83203125" style="937" customWidth="1"/>
    <col min="16130" max="16130" width="79.1640625" style="937" customWidth="1"/>
    <col min="16131" max="16131" width="25" style="937" customWidth="1"/>
    <col min="16132" max="16384" width="9.33203125" style="937"/>
  </cols>
  <sheetData>
    <row r="1" spans="1:3" ht="16.5" thickBot="1" x14ac:dyDescent="0.25">
      <c r="A1" s="947"/>
      <c r="B1" s="948"/>
      <c r="C1" s="232"/>
    </row>
    <row r="2" spans="1:3" ht="36" x14ac:dyDescent="0.2">
      <c r="A2" s="967" t="s">
        <v>158</v>
      </c>
      <c r="B2" s="965" t="s">
        <v>533</v>
      </c>
      <c r="C2" s="181" t="s">
        <v>62</v>
      </c>
    </row>
    <row r="3" spans="1:3" ht="24.75" thickBot="1" x14ac:dyDescent="0.25">
      <c r="A3" s="969" t="s">
        <v>157</v>
      </c>
      <c r="B3" s="966" t="s">
        <v>355</v>
      </c>
      <c r="C3" s="182" t="s">
        <v>61</v>
      </c>
    </row>
    <row r="4" spans="1:3" ht="14.25" thickBot="1" x14ac:dyDescent="0.3">
      <c r="A4" s="949"/>
      <c r="B4" s="949"/>
      <c r="C4" s="89" t="s">
        <v>553</v>
      </c>
    </row>
    <row r="5" spans="1:3" ht="13.5" thickBot="1" x14ac:dyDescent="0.25">
      <c r="A5" s="968" t="s">
        <v>159</v>
      </c>
      <c r="B5" s="950" t="s">
        <v>55</v>
      </c>
      <c r="C5" s="91" t="s">
        <v>56</v>
      </c>
    </row>
    <row r="6" spans="1:3" ht="13.5" thickBot="1" x14ac:dyDescent="0.25">
      <c r="A6" s="944" t="s">
        <v>443</v>
      </c>
      <c r="B6" s="945" t="s">
        <v>444</v>
      </c>
      <c r="C6" s="79" t="s">
        <v>445</v>
      </c>
    </row>
    <row r="7" spans="1:3" ht="13.5" thickBot="1" x14ac:dyDescent="0.25">
      <c r="A7" s="951"/>
      <c r="B7" s="952" t="s">
        <v>57</v>
      </c>
      <c r="C7" s="94"/>
    </row>
    <row r="8" spans="1:3" ht="13.5" thickBot="1" x14ac:dyDescent="0.25">
      <c r="A8" s="944" t="s">
        <v>19</v>
      </c>
      <c r="B8" s="953" t="s">
        <v>519</v>
      </c>
      <c r="C8" s="136">
        <f>SUM(C9:C19)</f>
        <v>0</v>
      </c>
    </row>
    <row r="9" spans="1:3" x14ac:dyDescent="0.2">
      <c r="A9" s="970" t="s">
        <v>95</v>
      </c>
      <c r="B9" s="941" t="s">
        <v>212</v>
      </c>
      <c r="C9" s="172"/>
    </row>
    <row r="10" spans="1:3" x14ac:dyDescent="0.2">
      <c r="A10" s="971" t="s">
        <v>96</v>
      </c>
      <c r="B10" s="939" t="s">
        <v>213</v>
      </c>
      <c r="C10" s="134"/>
    </row>
    <row r="11" spans="1:3" x14ac:dyDescent="0.2">
      <c r="A11" s="971" t="s">
        <v>97</v>
      </c>
      <c r="B11" s="939" t="s">
        <v>214</v>
      </c>
      <c r="C11" s="134"/>
    </row>
    <row r="12" spans="1:3" x14ac:dyDescent="0.2">
      <c r="A12" s="971" t="s">
        <v>98</v>
      </c>
      <c r="B12" s="939" t="s">
        <v>215</v>
      </c>
      <c r="C12" s="134"/>
    </row>
    <row r="13" spans="1:3" x14ac:dyDescent="0.2">
      <c r="A13" s="971" t="s">
        <v>121</v>
      </c>
      <c r="B13" s="939" t="s">
        <v>216</v>
      </c>
      <c r="C13" s="134"/>
    </row>
    <row r="14" spans="1:3" x14ac:dyDescent="0.2">
      <c r="A14" s="971" t="s">
        <v>99</v>
      </c>
      <c r="B14" s="939" t="s">
        <v>337</v>
      </c>
      <c r="C14" s="134"/>
    </row>
    <row r="15" spans="1:3" x14ac:dyDescent="0.2">
      <c r="A15" s="971" t="s">
        <v>100</v>
      </c>
      <c r="B15" s="938" t="s">
        <v>338</v>
      </c>
      <c r="C15" s="134"/>
    </row>
    <row r="16" spans="1:3" x14ac:dyDescent="0.2">
      <c r="A16" s="971" t="s">
        <v>110</v>
      </c>
      <c r="B16" s="939" t="s">
        <v>219</v>
      </c>
      <c r="C16" s="173"/>
    </row>
    <row r="17" spans="1:3" x14ac:dyDescent="0.2">
      <c r="A17" s="971" t="s">
        <v>111</v>
      </c>
      <c r="B17" s="939" t="s">
        <v>220</v>
      </c>
      <c r="C17" s="134"/>
    </row>
    <row r="18" spans="1:3" x14ac:dyDescent="0.2">
      <c r="A18" s="971" t="s">
        <v>112</v>
      </c>
      <c r="B18" s="939" t="s">
        <v>449</v>
      </c>
      <c r="C18" s="135"/>
    </row>
    <row r="19" spans="1:3" ht="13.5" thickBot="1" x14ac:dyDescent="0.25">
      <c r="A19" s="971" t="s">
        <v>113</v>
      </c>
      <c r="B19" s="938" t="s">
        <v>221</v>
      </c>
      <c r="C19" s="135"/>
    </row>
    <row r="20" spans="1:3" ht="13.5" thickBot="1" x14ac:dyDescent="0.25">
      <c r="A20" s="944" t="s">
        <v>20</v>
      </c>
      <c r="B20" s="953" t="s">
        <v>339</v>
      </c>
      <c r="C20" s="136">
        <f>SUM(C21:C23)</f>
        <v>0</v>
      </c>
    </row>
    <row r="21" spans="1:3" x14ac:dyDescent="0.2">
      <c r="A21" s="971" t="s">
        <v>101</v>
      </c>
      <c r="B21" s="940" t="s">
        <v>190</v>
      </c>
      <c r="C21" s="134"/>
    </row>
    <row r="22" spans="1:3" x14ac:dyDescent="0.2">
      <c r="A22" s="971" t="s">
        <v>102</v>
      </c>
      <c r="B22" s="939" t="s">
        <v>340</v>
      </c>
      <c r="C22" s="134"/>
    </row>
    <row r="23" spans="1:3" x14ac:dyDescent="0.2">
      <c r="A23" s="971" t="s">
        <v>103</v>
      </c>
      <c r="B23" s="939" t="s">
        <v>341</v>
      </c>
      <c r="C23" s="134"/>
    </row>
    <row r="24" spans="1:3" ht="13.5" thickBot="1" x14ac:dyDescent="0.25">
      <c r="A24" s="971" t="s">
        <v>104</v>
      </c>
      <c r="B24" s="939" t="s">
        <v>528</v>
      </c>
      <c r="C24" s="134"/>
    </row>
    <row r="25" spans="1:3" ht="13.5" thickBot="1" x14ac:dyDescent="0.25">
      <c r="A25" s="946" t="s">
        <v>21</v>
      </c>
      <c r="B25" s="942" t="s">
        <v>135</v>
      </c>
      <c r="C25" s="157"/>
    </row>
    <row r="26" spans="1:3" ht="13.5" thickBot="1" x14ac:dyDescent="0.25">
      <c r="A26" s="946" t="s">
        <v>22</v>
      </c>
      <c r="B26" s="942" t="s">
        <v>529</v>
      </c>
      <c r="C26" s="136">
        <f>+C27+C28</f>
        <v>0</v>
      </c>
    </row>
    <row r="27" spans="1:3" x14ac:dyDescent="0.2">
      <c r="A27" s="972" t="s">
        <v>200</v>
      </c>
      <c r="B27" s="973" t="s">
        <v>340</v>
      </c>
      <c r="C27" s="1002"/>
    </row>
    <row r="28" spans="1:3" x14ac:dyDescent="0.2">
      <c r="A28" s="972" t="s">
        <v>203</v>
      </c>
      <c r="B28" s="974" t="s">
        <v>342</v>
      </c>
      <c r="C28" s="137"/>
    </row>
    <row r="29" spans="1:3" ht="13.5" thickBot="1" x14ac:dyDescent="0.25">
      <c r="A29" s="971" t="s">
        <v>204</v>
      </c>
      <c r="B29" s="943" t="s">
        <v>530</v>
      </c>
      <c r="C29" s="45"/>
    </row>
    <row r="30" spans="1:3" ht="13.5" thickBot="1" x14ac:dyDescent="0.25">
      <c r="A30" s="946" t="s">
        <v>23</v>
      </c>
      <c r="B30" s="942" t="s">
        <v>343</v>
      </c>
      <c r="C30" s="136">
        <f>+C31+C32+C33</f>
        <v>0</v>
      </c>
    </row>
    <row r="31" spans="1:3" x14ac:dyDescent="0.2">
      <c r="A31" s="972" t="s">
        <v>88</v>
      </c>
      <c r="B31" s="973" t="s">
        <v>226</v>
      </c>
      <c r="C31" s="1002"/>
    </row>
    <row r="32" spans="1:3" x14ac:dyDescent="0.2">
      <c r="A32" s="972" t="s">
        <v>89</v>
      </c>
      <c r="B32" s="974" t="s">
        <v>227</v>
      </c>
      <c r="C32" s="137"/>
    </row>
    <row r="33" spans="1:3" ht="13.5" thickBot="1" x14ac:dyDescent="0.25">
      <c r="A33" s="971" t="s">
        <v>90</v>
      </c>
      <c r="B33" s="943" t="s">
        <v>228</v>
      </c>
      <c r="C33" s="45"/>
    </row>
    <row r="34" spans="1:3" ht="13.5" thickBot="1" x14ac:dyDescent="0.25">
      <c r="A34" s="946" t="s">
        <v>24</v>
      </c>
      <c r="B34" s="942" t="s">
        <v>314</v>
      </c>
      <c r="C34" s="157"/>
    </row>
    <row r="35" spans="1:3" ht="13.5" thickBot="1" x14ac:dyDescent="0.25">
      <c r="A35" s="946" t="s">
        <v>25</v>
      </c>
      <c r="B35" s="942" t="s">
        <v>344</v>
      </c>
      <c r="C35" s="174"/>
    </row>
    <row r="36" spans="1:3" ht="13.5" thickBot="1" x14ac:dyDescent="0.25">
      <c r="A36" s="944" t="s">
        <v>26</v>
      </c>
      <c r="B36" s="942" t="s">
        <v>531</v>
      </c>
      <c r="C36" s="175">
        <f>+C8+C20+C25+C26+C30+C34+C35</f>
        <v>0</v>
      </c>
    </row>
    <row r="37" spans="1:3" ht="13.5" thickBot="1" x14ac:dyDescent="0.25">
      <c r="A37" s="954" t="s">
        <v>27</v>
      </c>
      <c r="B37" s="942" t="s">
        <v>346</v>
      </c>
      <c r="C37" s="175">
        <f>+C38+C39+C40</f>
        <v>0</v>
      </c>
    </row>
    <row r="38" spans="1:3" x14ac:dyDescent="0.2">
      <c r="A38" s="972" t="s">
        <v>347</v>
      </c>
      <c r="B38" s="973" t="s">
        <v>172</v>
      </c>
      <c r="C38" s="1002"/>
    </row>
    <row r="39" spans="1:3" x14ac:dyDescent="0.2">
      <c r="A39" s="972" t="s">
        <v>348</v>
      </c>
      <c r="B39" s="974" t="s">
        <v>10</v>
      </c>
      <c r="C39" s="137"/>
    </row>
    <row r="40" spans="1:3" ht="13.5" thickBot="1" x14ac:dyDescent="0.25">
      <c r="A40" s="971" t="s">
        <v>349</v>
      </c>
      <c r="B40" s="943" t="s">
        <v>350</v>
      </c>
      <c r="C40" s="45"/>
    </row>
    <row r="41" spans="1:3" ht="13.5" thickBot="1" x14ac:dyDescent="0.25">
      <c r="A41" s="954" t="s">
        <v>28</v>
      </c>
      <c r="B41" s="955" t="s">
        <v>351</v>
      </c>
      <c r="C41" s="178">
        <f>+C36+C37</f>
        <v>0</v>
      </c>
    </row>
    <row r="42" spans="1:3" x14ac:dyDescent="0.2">
      <c r="A42" s="956"/>
      <c r="B42" s="957"/>
      <c r="C42" s="176"/>
    </row>
    <row r="43" spans="1:3" ht="13.5" thickBot="1" x14ac:dyDescent="0.25">
      <c r="A43" s="958"/>
      <c r="B43" s="959"/>
      <c r="C43" s="177"/>
    </row>
    <row r="44" spans="1:3" ht="13.5" thickBot="1" x14ac:dyDescent="0.25">
      <c r="A44" s="960"/>
      <c r="B44" s="961" t="s">
        <v>58</v>
      </c>
      <c r="C44" s="178"/>
    </row>
    <row r="45" spans="1:3" ht="13.5" thickBot="1" x14ac:dyDescent="0.25">
      <c r="A45" s="946" t="s">
        <v>19</v>
      </c>
      <c r="B45" s="942" t="s">
        <v>352</v>
      </c>
      <c r="C45" s="136">
        <f>SUM(C46:C50)</f>
        <v>0</v>
      </c>
    </row>
    <row r="46" spans="1:3" x14ac:dyDescent="0.2">
      <c r="A46" s="971" t="s">
        <v>95</v>
      </c>
      <c r="B46" s="940" t="s">
        <v>49</v>
      </c>
      <c r="C46" s="1002"/>
    </row>
    <row r="47" spans="1:3" x14ac:dyDescent="0.2">
      <c r="A47" s="971" t="s">
        <v>96</v>
      </c>
      <c r="B47" s="939" t="s">
        <v>144</v>
      </c>
      <c r="C47" s="1003"/>
    </row>
    <row r="48" spans="1:3" x14ac:dyDescent="0.2">
      <c r="A48" s="971" t="s">
        <v>97</v>
      </c>
      <c r="B48" s="939" t="s">
        <v>120</v>
      </c>
      <c r="C48" s="1003"/>
    </row>
    <row r="49" spans="1:3" x14ac:dyDescent="0.2">
      <c r="A49" s="971" t="s">
        <v>98</v>
      </c>
      <c r="B49" s="939" t="s">
        <v>145</v>
      </c>
      <c r="C49" s="1003"/>
    </row>
    <row r="50" spans="1:3" ht="13.5" thickBot="1" x14ac:dyDescent="0.25">
      <c r="A50" s="971" t="s">
        <v>121</v>
      </c>
      <c r="B50" s="939" t="s">
        <v>146</v>
      </c>
      <c r="C50" s="1003"/>
    </row>
    <row r="51" spans="1:3" ht="13.5" thickBot="1" x14ac:dyDescent="0.25">
      <c r="A51" s="946" t="s">
        <v>20</v>
      </c>
      <c r="B51" s="942" t="s">
        <v>353</v>
      </c>
      <c r="C51" s="136">
        <f>SUM(C52:C54)</f>
        <v>0</v>
      </c>
    </row>
    <row r="52" spans="1:3" x14ac:dyDescent="0.2">
      <c r="A52" s="971" t="s">
        <v>101</v>
      </c>
      <c r="B52" s="940" t="s">
        <v>163</v>
      </c>
      <c r="C52" s="1002"/>
    </row>
    <row r="53" spans="1:3" x14ac:dyDescent="0.2">
      <c r="A53" s="971" t="s">
        <v>102</v>
      </c>
      <c r="B53" s="939" t="s">
        <v>148</v>
      </c>
      <c r="C53" s="1003"/>
    </row>
    <row r="54" spans="1:3" x14ac:dyDescent="0.2">
      <c r="A54" s="971" t="s">
        <v>103</v>
      </c>
      <c r="B54" s="939" t="s">
        <v>59</v>
      </c>
      <c r="C54" s="1003"/>
    </row>
    <row r="55" spans="1:3" ht="13.5" thickBot="1" x14ac:dyDescent="0.25">
      <c r="A55" s="971" t="s">
        <v>104</v>
      </c>
      <c r="B55" s="939" t="s">
        <v>523</v>
      </c>
      <c r="C55" s="1003"/>
    </row>
    <row r="56" spans="1:3" ht="13.5" thickBot="1" x14ac:dyDescent="0.25">
      <c r="A56" s="946" t="s">
        <v>21</v>
      </c>
      <c r="B56" s="942" t="s">
        <v>13</v>
      </c>
      <c r="C56" s="157"/>
    </row>
    <row r="57" spans="1:3" ht="13.5" thickBot="1" x14ac:dyDescent="0.25">
      <c r="A57" s="946" t="s">
        <v>22</v>
      </c>
      <c r="B57" s="962" t="s">
        <v>524</v>
      </c>
      <c r="C57" s="179">
        <f>+C45+C51+C56</f>
        <v>0</v>
      </c>
    </row>
    <row r="58" spans="1:3" ht="13.5" thickBot="1" x14ac:dyDescent="0.25">
      <c r="A58" s="105"/>
      <c r="B58" s="106"/>
      <c r="C58" s="180"/>
    </row>
    <row r="59" spans="1:3" ht="13.5" thickBot="1" x14ac:dyDescent="0.25">
      <c r="A59" s="963" t="s">
        <v>517</v>
      </c>
      <c r="B59" s="964"/>
      <c r="C59" s="66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4/2020.(II.28.)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view="pageLayout" zoomScaleNormal="100" zoomScaleSheetLayoutView="115" workbookViewId="0">
      <selection activeCell="B16" sqref="B16"/>
    </sheetView>
  </sheetViews>
  <sheetFormatPr defaultColWidth="12.5" defaultRowHeight="12.75" x14ac:dyDescent="0.2"/>
  <cols>
    <col min="1" max="1" width="35.83203125" style="1009" customWidth="1"/>
    <col min="2" max="2" width="12" style="1037" customWidth="1"/>
    <col min="3" max="3" width="16" style="1037" customWidth="1"/>
    <col min="4" max="4" width="15" style="1069" customWidth="1"/>
    <col min="5" max="5" width="14" style="1037" customWidth="1"/>
    <col min="6" max="6" width="13.6640625" style="1037" customWidth="1"/>
    <col min="7" max="7" width="13.33203125" style="1037" customWidth="1"/>
    <col min="8" max="8" width="12.33203125" style="1037" customWidth="1"/>
    <col min="9" max="10" width="12" style="1037" customWidth="1"/>
    <col min="11" max="11" width="14.83203125" style="1069" customWidth="1"/>
    <col min="12" max="12" width="12.6640625" style="1009" bestFit="1" customWidth="1"/>
    <col min="13" max="256" width="12.5" style="1009"/>
    <col min="257" max="257" width="35.83203125" style="1009" customWidth="1"/>
    <col min="258" max="258" width="12" style="1009" customWidth="1"/>
    <col min="259" max="259" width="16" style="1009" customWidth="1"/>
    <col min="260" max="260" width="15" style="1009" customWidth="1"/>
    <col min="261" max="261" width="14" style="1009" customWidth="1"/>
    <col min="262" max="262" width="13.6640625" style="1009" customWidth="1"/>
    <col min="263" max="263" width="13.33203125" style="1009" customWidth="1"/>
    <col min="264" max="264" width="12.33203125" style="1009" customWidth="1"/>
    <col min="265" max="266" width="12" style="1009" customWidth="1"/>
    <col min="267" max="267" width="14.83203125" style="1009" customWidth="1"/>
    <col min="268" max="268" width="12.6640625" style="1009" bestFit="1" customWidth="1"/>
    <col min="269" max="512" width="12.5" style="1009"/>
    <col min="513" max="513" width="35.83203125" style="1009" customWidth="1"/>
    <col min="514" max="514" width="12" style="1009" customWidth="1"/>
    <col min="515" max="515" width="16" style="1009" customWidth="1"/>
    <col min="516" max="516" width="15" style="1009" customWidth="1"/>
    <col min="517" max="517" width="14" style="1009" customWidth="1"/>
    <col min="518" max="518" width="13.6640625" style="1009" customWidth="1"/>
    <col min="519" max="519" width="13.33203125" style="1009" customWidth="1"/>
    <col min="520" max="520" width="12.33203125" style="1009" customWidth="1"/>
    <col min="521" max="522" width="12" style="1009" customWidth="1"/>
    <col min="523" max="523" width="14.83203125" style="1009" customWidth="1"/>
    <col min="524" max="524" width="12.6640625" style="1009" bestFit="1" customWidth="1"/>
    <col min="525" max="768" width="12.5" style="1009"/>
    <col min="769" max="769" width="35.83203125" style="1009" customWidth="1"/>
    <col min="770" max="770" width="12" style="1009" customWidth="1"/>
    <col min="771" max="771" width="16" style="1009" customWidth="1"/>
    <col min="772" max="772" width="15" style="1009" customWidth="1"/>
    <col min="773" max="773" width="14" style="1009" customWidth="1"/>
    <col min="774" max="774" width="13.6640625" style="1009" customWidth="1"/>
    <col min="775" max="775" width="13.33203125" style="1009" customWidth="1"/>
    <col min="776" max="776" width="12.33203125" style="1009" customWidth="1"/>
    <col min="777" max="778" width="12" style="1009" customWidth="1"/>
    <col min="779" max="779" width="14.83203125" style="1009" customWidth="1"/>
    <col min="780" max="780" width="12.6640625" style="1009" bestFit="1" customWidth="1"/>
    <col min="781" max="1024" width="12.5" style="1009"/>
    <col min="1025" max="1025" width="35.83203125" style="1009" customWidth="1"/>
    <col min="1026" max="1026" width="12" style="1009" customWidth="1"/>
    <col min="1027" max="1027" width="16" style="1009" customWidth="1"/>
    <col min="1028" max="1028" width="15" style="1009" customWidth="1"/>
    <col min="1029" max="1029" width="14" style="1009" customWidth="1"/>
    <col min="1030" max="1030" width="13.6640625" style="1009" customWidth="1"/>
    <col min="1031" max="1031" width="13.33203125" style="1009" customWidth="1"/>
    <col min="1032" max="1032" width="12.33203125" style="1009" customWidth="1"/>
    <col min="1033" max="1034" width="12" style="1009" customWidth="1"/>
    <col min="1035" max="1035" width="14.83203125" style="1009" customWidth="1"/>
    <col min="1036" max="1036" width="12.6640625" style="1009" bestFit="1" customWidth="1"/>
    <col min="1037" max="1280" width="12.5" style="1009"/>
    <col min="1281" max="1281" width="35.83203125" style="1009" customWidth="1"/>
    <col min="1282" max="1282" width="12" style="1009" customWidth="1"/>
    <col min="1283" max="1283" width="16" style="1009" customWidth="1"/>
    <col min="1284" max="1284" width="15" style="1009" customWidth="1"/>
    <col min="1285" max="1285" width="14" style="1009" customWidth="1"/>
    <col min="1286" max="1286" width="13.6640625" style="1009" customWidth="1"/>
    <col min="1287" max="1287" width="13.33203125" style="1009" customWidth="1"/>
    <col min="1288" max="1288" width="12.33203125" style="1009" customWidth="1"/>
    <col min="1289" max="1290" width="12" style="1009" customWidth="1"/>
    <col min="1291" max="1291" width="14.83203125" style="1009" customWidth="1"/>
    <col min="1292" max="1292" width="12.6640625" style="1009" bestFit="1" customWidth="1"/>
    <col min="1293" max="1536" width="12.5" style="1009"/>
    <col min="1537" max="1537" width="35.83203125" style="1009" customWidth="1"/>
    <col min="1538" max="1538" width="12" style="1009" customWidth="1"/>
    <col min="1539" max="1539" width="16" style="1009" customWidth="1"/>
    <col min="1540" max="1540" width="15" style="1009" customWidth="1"/>
    <col min="1541" max="1541" width="14" style="1009" customWidth="1"/>
    <col min="1542" max="1542" width="13.6640625" style="1009" customWidth="1"/>
    <col min="1543" max="1543" width="13.33203125" style="1009" customWidth="1"/>
    <col min="1544" max="1544" width="12.33203125" style="1009" customWidth="1"/>
    <col min="1545" max="1546" width="12" style="1009" customWidth="1"/>
    <col min="1547" max="1547" width="14.83203125" style="1009" customWidth="1"/>
    <col min="1548" max="1548" width="12.6640625" style="1009" bestFit="1" customWidth="1"/>
    <col min="1549" max="1792" width="12.5" style="1009"/>
    <col min="1793" max="1793" width="35.83203125" style="1009" customWidth="1"/>
    <col min="1794" max="1794" width="12" style="1009" customWidth="1"/>
    <col min="1795" max="1795" width="16" style="1009" customWidth="1"/>
    <col min="1796" max="1796" width="15" style="1009" customWidth="1"/>
    <col min="1797" max="1797" width="14" style="1009" customWidth="1"/>
    <col min="1798" max="1798" width="13.6640625" style="1009" customWidth="1"/>
    <col min="1799" max="1799" width="13.33203125" style="1009" customWidth="1"/>
    <col min="1800" max="1800" width="12.33203125" style="1009" customWidth="1"/>
    <col min="1801" max="1802" width="12" style="1009" customWidth="1"/>
    <col min="1803" max="1803" width="14.83203125" style="1009" customWidth="1"/>
    <col min="1804" max="1804" width="12.6640625" style="1009" bestFit="1" customWidth="1"/>
    <col min="1805" max="2048" width="12.5" style="1009"/>
    <col min="2049" max="2049" width="35.83203125" style="1009" customWidth="1"/>
    <col min="2050" max="2050" width="12" style="1009" customWidth="1"/>
    <col min="2051" max="2051" width="16" style="1009" customWidth="1"/>
    <col min="2052" max="2052" width="15" style="1009" customWidth="1"/>
    <col min="2053" max="2053" width="14" style="1009" customWidth="1"/>
    <col min="2054" max="2054" width="13.6640625" style="1009" customWidth="1"/>
    <col min="2055" max="2055" width="13.33203125" style="1009" customWidth="1"/>
    <col min="2056" max="2056" width="12.33203125" style="1009" customWidth="1"/>
    <col min="2057" max="2058" width="12" style="1009" customWidth="1"/>
    <col min="2059" max="2059" width="14.83203125" style="1009" customWidth="1"/>
    <col min="2060" max="2060" width="12.6640625" style="1009" bestFit="1" customWidth="1"/>
    <col min="2061" max="2304" width="12.5" style="1009"/>
    <col min="2305" max="2305" width="35.83203125" style="1009" customWidth="1"/>
    <col min="2306" max="2306" width="12" style="1009" customWidth="1"/>
    <col min="2307" max="2307" width="16" style="1009" customWidth="1"/>
    <col min="2308" max="2308" width="15" style="1009" customWidth="1"/>
    <col min="2309" max="2309" width="14" style="1009" customWidth="1"/>
    <col min="2310" max="2310" width="13.6640625" style="1009" customWidth="1"/>
    <col min="2311" max="2311" width="13.33203125" style="1009" customWidth="1"/>
    <col min="2312" max="2312" width="12.33203125" style="1009" customWidth="1"/>
    <col min="2313" max="2314" width="12" style="1009" customWidth="1"/>
    <col min="2315" max="2315" width="14.83203125" style="1009" customWidth="1"/>
    <col min="2316" max="2316" width="12.6640625" style="1009" bestFit="1" customWidth="1"/>
    <col min="2317" max="2560" width="12.5" style="1009"/>
    <col min="2561" max="2561" width="35.83203125" style="1009" customWidth="1"/>
    <col min="2562" max="2562" width="12" style="1009" customWidth="1"/>
    <col min="2563" max="2563" width="16" style="1009" customWidth="1"/>
    <col min="2564" max="2564" width="15" style="1009" customWidth="1"/>
    <col min="2565" max="2565" width="14" style="1009" customWidth="1"/>
    <col min="2566" max="2566" width="13.6640625" style="1009" customWidth="1"/>
    <col min="2567" max="2567" width="13.33203125" style="1009" customWidth="1"/>
    <col min="2568" max="2568" width="12.33203125" style="1009" customWidth="1"/>
    <col min="2569" max="2570" width="12" style="1009" customWidth="1"/>
    <col min="2571" max="2571" width="14.83203125" style="1009" customWidth="1"/>
    <col min="2572" max="2572" width="12.6640625" style="1009" bestFit="1" customWidth="1"/>
    <col min="2573" max="2816" width="12.5" style="1009"/>
    <col min="2817" max="2817" width="35.83203125" style="1009" customWidth="1"/>
    <col min="2818" max="2818" width="12" style="1009" customWidth="1"/>
    <col min="2819" max="2819" width="16" style="1009" customWidth="1"/>
    <col min="2820" max="2820" width="15" style="1009" customWidth="1"/>
    <col min="2821" max="2821" width="14" style="1009" customWidth="1"/>
    <col min="2822" max="2822" width="13.6640625" style="1009" customWidth="1"/>
    <col min="2823" max="2823" width="13.33203125" style="1009" customWidth="1"/>
    <col min="2824" max="2824" width="12.33203125" style="1009" customWidth="1"/>
    <col min="2825" max="2826" width="12" style="1009" customWidth="1"/>
    <col min="2827" max="2827" width="14.83203125" style="1009" customWidth="1"/>
    <col min="2828" max="2828" width="12.6640625" style="1009" bestFit="1" customWidth="1"/>
    <col min="2829" max="3072" width="12.5" style="1009"/>
    <col min="3073" max="3073" width="35.83203125" style="1009" customWidth="1"/>
    <col min="3074" max="3074" width="12" style="1009" customWidth="1"/>
    <col min="3075" max="3075" width="16" style="1009" customWidth="1"/>
    <col min="3076" max="3076" width="15" style="1009" customWidth="1"/>
    <col min="3077" max="3077" width="14" style="1009" customWidth="1"/>
    <col min="3078" max="3078" width="13.6640625" style="1009" customWidth="1"/>
    <col min="3079" max="3079" width="13.33203125" style="1009" customWidth="1"/>
    <col min="3080" max="3080" width="12.33203125" style="1009" customWidth="1"/>
    <col min="3081" max="3082" width="12" style="1009" customWidth="1"/>
    <col min="3083" max="3083" width="14.83203125" style="1009" customWidth="1"/>
    <col min="3084" max="3084" width="12.6640625" style="1009" bestFit="1" customWidth="1"/>
    <col min="3085" max="3328" width="12.5" style="1009"/>
    <col min="3329" max="3329" width="35.83203125" style="1009" customWidth="1"/>
    <col min="3330" max="3330" width="12" style="1009" customWidth="1"/>
    <col min="3331" max="3331" width="16" style="1009" customWidth="1"/>
    <col min="3332" max="3332" width="15" style="1009" customWidth="1"/>
    <col min="3333" max="3333" width="14" style="1009" customWidth="1"/>
    <col min="3334" max="3334" width="13.6640625" style="1009" customWidth="1"/>
    <col min="3335" max="3335" width="13.33203125" style="1009" customWidth="1"/>
    <col min="3336" max="3336" width="12.33203125" style="1009" customWidth="1"/>
    <col min="3337" max="3338" width="12" style="1009" customWidth="1"/>
    <col min="3339" max="3339" width="14.83203125" style="1009" customWidth="1"/>
    <col min="3340" max="3340" width="12.6640625" style="1009" bestFit="1" customWidth="1"/>
    <col min="3341" max="3584" width="12.5" style="1009"/>
    <col min="3585" max="3585" width="35.83203125" style="1009" customWidth="1"/>
    <col min="3586" max="3586" width="12" style="1009" customWidth="1"/>
    <col min="3587" max="3587" width="16" style="1009" customWidth="1"/>
    <col min="3588" max="3588" width="15" style="1009" customWidth="1"/>
    <col min="3589" max="3589" width="14" style="1009" customWidth="1"/>
    <col min="3590" max="3590" width="13.6640625" style="1009" customWidth="1"/>
    <col min="3591" max="3591" width="13.33203125" style="1009" customWidth="1"/>
    <col min="3592" max="3592" width="12.33203125" style="1009" customWidth="1"/>
    <col min="3593" max="3594" width="12" style="1009" customWidth="1"/>
    <col min="3595" max="3595" width="14.83203125" style="1009" customWidth="1"/>
    <col min="3596" max="3596" width="12.6640625" style="1009" bestFit="1" customWidth="1"/>
    <col min="3597" max="3840" width="12.5" style="1009"/>
    <col min="3841" max="3841" width="35.83203125" style="1009" customWidth="1"/>
    <col min="3842" max="3842" width="12" style="1009" customWidth="1"/>
    <col min="3843" max="3843" width="16" style="1009" customWidth="1"/>
    <col min="3844" max="3844" width="15" style="1009" customWidth="1"/>
    <col min="3845" max="3845" width="14" style="1009" customWidth="1"/>
    <col min="3846" max="3846" width="13.6640625" style="1009" customWidth="1"/>
    <col min="3847" max="3847" width="13.33203125" style="1009" customWidth="1"/>
    <col min="3848" max="3848" width="12.33203125" style="1009" customWidth="1"/>
    <col min="3849" max="3850" width="12" style="1009" customWidth="1"/>
    <col min="3851" max="3851" width="14.83203125" style="1009" customWidth="1"/>
    <col min="3852" max="3852" width="12.6640625" style="1009" bestFit="1" customWidth="1"/>
    <col min="3853" max="4096" width="12.5" style="1009"/>
    <col min="4097" max="4097" width="35.83203125" style="1009" customWidth="1"/>
    <col min="4098" max="4098" width="12" style="1009" customWidth="1"/>
    <col min="4099" max="4099" width="16" style="1009" customWidth="1"/>
    <col min="4100" max="4100" width="15" style="1009" customWidth="1"/>
    <col min="4101" max="4101" width="14" style="1009" customWidth="1"/>
    <col min="4102" max="4102" width="13.6640625" style="1009" customWidth="1"/>
    <col min="4103" max="4103" width="13.33203125" style="1009" customWidth="1"/>
    <col min="4104" max="4104" width="12.33203125" style="1009" customWidth="1"/>
    <col min="4105" max="4106" width="12" style="1009" customWidth="1"/>
    <col min="4107" max="4107" width="14.83203125" style="1009" customWidth="1"/>
    <col min="4108" max="4108" width="12.6640625" style="1009" bestFit="1" customWidth="1"/>
    <col min="4109" max="4352" width="12.5" style="1009"/>
    <col min="4353" max="4353" width="35.83203125" style="1009" customWidth="1"/>
    <col min="4354" max="4354" width="12" style="1009" customWidth="1"/>
    <col min="4355" max="4355" width="16" style="1009" customWidth="1"/>
    <col min="4356" max="4356" width="15" style="1009" customWidth="1"/>
    <col min="4357" max="4357" width="14" style="1009" customWidth="1"/>
    <col min="4358" max="4358" width="13.6640625" style="1009" customWidth="1"/>
    <col min="4359" max="4359" width="13.33203125" style="1009" customWidth="1"/>
    <col min="4360" max="4360" width="12.33203125" style="1009" customWidth="1"/>
    <col min="4361" max="4362" width="12" style="1009" customWidth="1"/>
    <col min="4363" max="4363" width="14.83203125" style="1009" customWidth="1"/>
    <col min="4364" max="4364" width="12.6640625" style="1009" bestFit="1" customWidth="1"/>
    <col min="4365" max="4608" width="12.5" style="1009"/>
    <col min="4609" max="4609" width="35.83203125" style="1009" customWidth="1"/>
    <col min="4610" max="4610" width="12" style="1009" customWidth="1"/>
    <col min="4611" max="4611" width="16" style="1009" customWidth="1"/>
    <col min="4612" max="4612" width="15" style="1009" customWidth="1"/>
    <col min="4613" max="4613" width="14" style="1009" customWidth="1"/>
    <col min="4614" max="4614" width="13.6640625" style="1009" customWidth="1"/>
    <col min="4615" max="4615" width="13.33203125" style="1009" customWidth="1"/>
    <col min="4616" max="4616" width="12.33203125" style="1009" customWidth="1"/>
    <col min="4617" max="4618" width="12" style="1009" customWidth="1"/>
    <col min="4619" max="4619" width="14.83203125" style="1009" customWidth="1"/>
    <col min="4620" max="4620" width="12.6640625" style="1009" bestFit="1" customWidth="1"/>
    <col min="4621" max="4864" width="12.5" style="1009"/>
    <col min="4865" max="4865" width="35.83203125" style="1009" customWidth="1"/>
    <col min="4866" max="4866" width="12" style="1009" customWidth="1"/>
    <col min="4867" max="4867" width="16" style="1009" customWidth="1"/>
    <col min="4868" max="4868" width="15" style="1009" customWidth="1"/>
    <col min="4869" max="4869" width="14" style="1009" customWidth="1"/>
    <col min="4870" max="4870" width="13.6640625" style="1009" customWidth="1"/>
    <col min="4871" max="4871" width="13.33203125" style="1009" customWidth="1"/>
    <col min="4872" max="4872" width="12.33203125" style="1009" customWidth="1"/>
    <col min="4873" max="4874" width="12" style="1009" customWidth="1"/>
    <col min="4875" max="4875" width="14.83203125" style="1009" customWidth="1"/>
    <col min="4876" max="4876" width="12.6640625" style="1009" bestFit="1" customWidth="1"/>
    <col min="4877" max="5120" width="12.5" style="1009"/>
    <col min="5121" max="5121" width="35.83203125" style="1009" customWidth="1"/>
    <col min="5122" max="5122" width="12" style="1009" customWidth="1"/>
    <col min="5123" max="5123" width="16" style="1009" customWidth="1"/>
    <col min="5124" max="5124" width="15" style="1009" customWidth="1"/>
    <col min="5125" max="5125" width="14" style="1009" customWidth="1"/>
    <col min="5126" max="5126" width="13.6640625" style="1009" customWidth="1"/>
    <col min="5127" max="5127" width="13.33203125" style="1009" customWidth="1"/>
    <col min="5128" max="5128" width="12.33203125" style="1009" customWidth="1"/>
    <col min="5129" max="5130" width="12" style="1009" customWidth="1"/>
    <col min="5131" max="5131" width="14.83203125" style="1009" customWidth="1"/>
    <col min="5132" max="5132" width="12.6640625" style="1009" bestFit="1" customWidth="1"/>
    <col min="5133" max="5376" width="12.5" style="1009"/>
    <col min="5377" max="5377" width="35.83203125" style="1009" customWidth="1"/>
    <col min="5378" max="5378" width="12" style="1009" customWidth="1"/>
    <col min="5379" max="5379" width="16" style="1009" customWidth="1"/>
    <col min="5380" max="5380" width="15" style="1009" customWidth="1"/>
    <col min="5381" max="5381" width="14" style="1009" customWidth="1"/>
    <col min="5382" max="5382" width="13.6640625" style="1009" customWidth="1"/>
    <col min="5383" max="5383" width="13.33203125" style="1009" customWidth="1"/>
    <col min="5384" max="5384" width="12.33203125" style="1009" customWidth="1"/>
    <col min="5385" max="5386" width="12" style="1009" customWidth="1"/>
    <col min="5387" max="5387" width="14.83203125" style="1009" customWidth="1"/>
    <col min="5388" max="5388" width="12.6640625" style="1009" bestFit="1" customWidth="1"/>
    <col min="5389" max="5632" width="12.5" style="1009"/>
    <col min="5633" max="5633" width="35.83203125" style="1009" customWidth="1"/>
    <col min="5634" max="5634" width="12" style="1009" customWidth="1"/>
    <col min="5635" max="5635" width="16" style="1009" customWidth="1"/>
    <col min="5636" max="5636" width="15" style="1009" customWidth="1"/>
    <col min="5637" max="5637" width="14" style="1009" customWidth="1"/>
    <col min="5638" max="5638" width="13.6640625" style="1009" customWidth="1"/>
    <col min="5639" max="5639" width="13.33203125" style="1009" customWidth="1"/>
    <col min="5640" max="5640" width="12.33203125" style="1009" customWidth="1"/>
    <col min="5641" max="5642" width="12" style="1009" customWidth="1"/>
    <col min="5643" max="5643" width="14.83203125" style="1009" customWidth="1"/>
    <col min="5644" max="5644" width="12.6640625" style="1009" bestFit="1" customWidth="1"/>
    <col min="5645" max="5888" width="12.5" style="1009"/>
    <col min="5889" max="5889" width="35.83203125" style="1009" customWidth="1"/>
    <col min="5890" max="5890" width="12" style="1009" customWidth="1"/>
    <col min="5891" max="5891" width="16" style="1009" customWidth="1"/>
    <col min="5892" max="5892" width="15" style="1009" customWidth="1"/>
    <col min="5893" max="5893" width="14" style="1009" customWidth="1"/>
    <col min="5894" max="5894" width="13.6640625" style="1009" customWidth="1"/>
    <col min="5895" max="5895" width="13.33203125" style="1009" customWidth="1"/>
    <col min="5896" max="5896" width="12.33203125" style="1009" customWidth="1"/>
    <col min="5897" max="5898" width="12" style="1009" customWidth="1"/>
    <col min="5899" max="5899" width="14.83203125" style="1009" customWidth="1"/>
    <col min="5900" max="5900" width="12.6640625" style="1009" bestFit="1" customWidth="1"/>
    <col min="5901" max="6144" width="12.5" style="1009"/>
    <col min="6145" max="6145" width="35.83203125" style="1009" customWidth="1"/>
    <col min="6146" max="6146" width="12" style="1009" customWidth="1"/>
    <col min="6147" max="6147" width="16" style="1009" customWidth="1"/>
    <col min="6148" max="6148" width="15" style="1009" customWidth="1"/>
    <col min="6149" max="6149" width="14" style="1009" customWidth="1"/>
    <col min="6150" max="6150" width="13.6640625" style="1009" customWidth="1"/>
    <col min="6151" max="6151" width="13.33203125" style="1009" customWidth="1"/>
    <col min="6152" max="6152" width="12.33203125" style="1009" customWidth="1"/>
    <col min="6153" max="6154" width="12" style="1009" customWidth="1"/>
    <col min="6155" max="6155" width="14.83203125" style="1009" customWidth="1"/>
    <col min="6156" max="6156" width="12.6640625" style="1009" bestFit="1" customWidth="1"/>
    <col min="6157" max="6400" width="12.5" style="1009"/>
    <col min="6401" max="6401" width="35.83203125" style="1009" customWidth="1"/>
    <col min="6402" max="6402" width="12" style="1009" customWidth="1"/>
    <col min="6403" max="6403" width="16" style="1009" customWidth="1"/>
    <col min="6404" max="6404" width="15" style="1009" customWidth="1"/>
    <col min="6405" max="6405" width="14" style="1009" customWidth="1"/>
    <col min="6406" max="6406" width="13.6640625" style="1009" customWidth="1"/>
    <col min="6407" max="6407" width="13.33203125" style="1009" customWidth="1"/>
    <col min="6408" max="6408" width="12.33203125" style="1009" customWidth="1"/>
    <col min="6409" max="6410" width="12" style="1009" customWidth="1"/>
    <col min="6411" max="6411" width="14.83203125" style="1009" customWidth="1"/>
    <col min="6412" max="6412" width="12.6640625" style="1009" bestFit="1" customWidth="1"/>
    <col min="6413" max="6656" width="12.5" style="1009"/>
    <col min="6657" max="6657" width="35.83203125" style="1009" customWidth="1"/>
    <col min="6658" max="6658" width="12" style="1009" customWidth="1"/>
    <col min="6659" max="6659" width="16" style="1009" customWidth="1"/>
    <col min="6660" max="6660" width="15" style="1009" customWidth="1"/>
    <col min="6661" max="6661" width="14" style="1009" customWidth="1"/>
    <col min="6662" max="6662" width="13.6640625" style="1009" customWidth="1"/>
    <col min="6663" max="6663" width="13.33203125" style="1009" customWidth="1"/>
    <col min="6664" max="6664" width="12.33203125" style="1009" customWidth="1"/>
    <col min="6665" max="6666" width="12" style="1009" customWidth="1"/>
    <col min="6667" max="6667" width="14.83203125" style="1009" customWidth="1"/>
    <col min="6668" max="6668" width="12.6640625" style="1009" bestFit="1" customWidth="1"/>
    <col min="6669" max="6912" width="12.5" style="1009"/>
    <col min="6913" max="6913" width="35.83203125" style="1009" customWidth="1"/>
    <col min="6914" max="6914" width="12" style="1009" customWidth="1"/>
    <col min="6915" max="6915" width="16" style="1009" customWidth="1"/>
    <col min="6916" max="6916" width="15" style="1009" customWidth="1"/>
    <col min="6917" max="6917" width="14" style="1009" customWidth="1"/>
    <col min="6918" max="6918" width="13.6640625" style="1009" customWidth="1"/>
    <col min="6919" max="6919" width="13.33203125" style="1009" customWidth="1"/>
    <col min="6920" max="6920" width="12.33203125" style="1009" customWidth="1"/>
    <col min="6921" max="6922" width="12" style="1009" customWidth="1"/>
    <col min="6923" max="6923" width="14.83203125" style="1009" customWidth="1"/>
    <col min="6924" max="6924" width="12.6640625" style="1009" bestFit="1" customWidth="1"/>
    <col min="6925" max="7168" width="12.5" style="1009"/>
    <col min="7169" max="7169" width="35.83203125" style="1009" customWidth="1"/>
    <col min="7170" max="7170" width="12" style="1009" customWidth="1"/>
    <col min="7171" max="7171" width="16" style="1009" customWidth="1"/>
    <col min="7172" max="7172" width="15" style="1009" customWidth="1"/>
    <col min="7173" max="7173" width="14" style="1009" customWidth="1"/>
    <col min="7174" max="7174" width="13.6640625" style="1009" customWidth="1"/>
    <col min="7175" max="7175" width="13.33203125" style="1009" customWidth="1"/>
    <col min="7176" max="7176" width="12.33203125" style="1009" customWidth="1"/>
    <col min="7177" max="7178" width="12" style="1009" customWidth="1"/>
    <col min="7179" max="7179" width="14.83203125" style="1009" customWidth="1"/>
    <col min="7180" max="7180" width="12.6640625" style="1009" bestFit="1" customWidth="1"/>
    <col min="7181" max="7424" width="12.5" style="1009"/>
    <col min="7425" max="7425" width="35.83203125" style="1009" customWidth="1"/>
    <col min="7426" max="7426" width="12" style="1009" customWidth="1"/>
    <col min="7427" max="7427" width="16" style="1009" customWidth="1"/>
    <col min="7428" max="7428" width="15" style="1009" customWidth="1"/>
    <col min="7429" max="7429" width="14" style="1009" customWidth="1"/>
    <col min="7430" max="7430" width="13.6640625" style="1009" customWidth="1"/>
    <col min="7431" max="7431" width="13.33203125" style="1009" customWidth="1"/>
    <col min="7432" max="7432" width="12.33203125" style="1009" customWidth="1"/>
    <col min="7433" max="7434" width="12" style="1009" customWidth="1"/>
    <col min="7435" max="7435" width="14.83203125" style="1009" customWidth="1"/>
    <col min="7436" max="7436" width="12.6640625" style="1009" bestFit="1" customWidth="1"/>
    <col min="7437" max="7680" width="12.5" style="1009"/>
    <col min="7681" max="7681" width="35.83203125" style="1009" customWidth="1"/>
    <col min="7682" max="7682" width="12" style="1009" customWidth="1"/>
    <col min="7683" max="7683" width="16" style="1009" customWidth="1"/>
    <col min="7684" max="7684" width="15" style="1009" customWidth="1"/>
    <col min="7685" max="7685" width="14" style="1009" customWidth="1"/>
    <col min="7686" max="7686" width="13.6640625" style="1009" customWidth="1"/>
    <col min="7687" max="7687" width="13.33203125" style="1009" customWidth="1"/>
    <col min="7688" max="7688" width="12.33203125" style="1009" customWidth="1"/>
    <col min="7689" max="7690" width="12" style="1009" customWidth="1"/>
    <col min="7691" max="7691" width="14.83203125" style="1009" customWidth="1"/>
    <col min="7692" max="7692" width="12.6640625" style="1009" bestFit="1" customWidth="1"/>
    <col min="7693" max="7936" width="12.5" style="1009"/>
    <col min="7937" max="7937" width="35.83203125" style="1009" customWidth="1"/>
    <col min="7938" max="7938" width="12" style="1009" customWidth="1"/>
    <col min="7939" max="7939" width="16" style="1009" customWidth="1"/>
    <col min="7940" max="7940" width="15" style="1009" customWidth="1"/>
    <col min="7941" max="7941" width="14" style="1009" customWidth="1"/>
    <col min="7942" max="7942" width="13.6640625" style="1009" customWidth="1"/>
    <col min="7943" max="7943" width="13.33203125" style="1009" customWidth="1"/>
    <col min="7944" max="7944" width="12.33203125" style="1009" customWidth="1"/>
    <col min="7945" max="7946" width="12" style="1009" customWidth="1"/>
    <col min="7947" max="7947" width="14.83203125" style="1009" customWidth="1"/>
    <col min="7948" max="7948" width="12.6640625" style="1009" bestFit="1" customWidth="1"/>
    <col min="7949" max="8192" width="12.5" style="1009"/>
    <col min="8193" max="8193" width="35.83203125" style="1009" customWidth="1"/>
    <col min="8194" max="8194" width="12" style="1009" customWidth="1"/>
    <col min="8195" max="8195" width="16" style="1009" customWidth="1"/>
    <col min="8196" max="8196" width="15" style="1009" customWidth="1"/>
    <col min="8197" max="8197" width="14" style="1009" customWidth="1"/>
    <col min="8198" max="8198" width="13.6640625" style="1009" customWidth="1"/>
    <col min="8199" max="8199" width="13.33203125" style="1009" customWidth="1"/>
    <col min="8200" max="8200" width="12.33203125" style="1009" customWidth="1"/>
    <col min="8201" max="8202" width="12" style="1009" customWidth="1"/>
    <col min="8203" max="8203" width="14.83203125" style="1009" customWidth="1"/>
    <col min="8204" max="8204" width="12.6640625" style="1009" bestFit="1" customWidth="1"/>
    <col min="8205" max="8448" width="12.5" style="1009"/>
    <col min="8449" max="8449" width="35.83203125" style="1009" customWidth="1"/>
    <col min="8450" max="8450" width="12" style="1009" customWidth="1"/>
    <col min="8451" max="8451" width="16" style="1009" customWidth="1"/>
    <col min="8452" max="8452" width="15" style="1009" customWidth="1"/>
    <col min="8453" max="8453" width="14" style="1009" customWidth="1"/>
    <col min="8454" max="8454" width="13.6640625" style="1009" customWidth="1"/>
    <col min="8455" max="8455" width="13.33203125" style="1009" customWidth="1"/>
    <col min="8456" max="8456" width="12.33203125" style="1009" customWidth="1"/>
    <col min="8457" max="8458" width="12" style="1009" customWidth="1"/>
    <col min="8459" max="8459" width="14.83203125" style="1009" customWidth="1"/>
    <col min="8460" max="8460" width="12.6640625" style="1009" bestFit="1" customWidth="1"/>
    <col min="8461" max="8704" width="12.5" style="1009"/>
    <col min="8705" max="8705" width="35.83203125" style="1009" customWidth="1"/>
    <col min="8706" max="8706" width="12" style="1009" customWidth="1"/>
    <col min="8707" max="8707" width="16" style="1009" customWidth="1"/>
    <col min="8708" max="8708" width="15" style="1009" customWidth="1"/>
    <col min="8709" max="8709" width="14" style="1009" customWidth="1"/>
    <col min="8710" max="8710" width="13.6640625" style="1009" customWidth="1"/>
    <col min="8711" max="8711" width="13.33203125" style="1009" customWidth="1"/>
    <col min="8712" max="8712" width="12.33203125" style="1009" customWidth="1"/>
    <col min="8713" max="8714" width="12" style="1009" customWidth="1"/>
    <col min="8715" max="8715" width="14.83203125" style="1009" customWidth="1"/>
    <col min="8716" max="8716" width="12.6640625" style="1009" bestFit="1" customWidth="1"/>
    <col min="8717" max="8960" width="12.5" style="1009"/>
    <col min="8961" max="8961" width="35.83203125" style="1009" customWidth="1"/>
    <col min="8962" max="8962" width="12" style="1009" customWidth="1"/>
    <col min="8963" max="8963" width="16" style="1009" customWidth="1"/>
    <col min="8964" max="8964" width="15" style="1009" customWidth="1"/>
    <col min="8965" max="8965" width="14" style="1009" customWidth="1"/>
    <col min="8966" max="8966" width="13.6640625" style="1009" customWidth="1"/>
    <col min="8967" max="8967" width="13.33203125" style="1009" customWidth="1"/>
    <col min="8968" max="8968" width="12.33203125" style="1009" customWidth="1"/>
    <col min="8969" max="8970" width="12" style="1009" customWidth="1"/>
    <col min="8971" max="8971" width="14.83203125" style="1009" customWidth="1"/>
    <col min="8972" max="8972" width="12.6640625" style="1009" bestFit="1" customWidth="1"/>
    <col min="8973" max="9216" width="12.5" style="1009"/>
    <col min="9217" max="9217" width="35.83203125" style="1009" customWidth="1"/>
    <col min="9218" max="9218" width="12" style="1009" customWidth="1"/>
    <col min="9219" max="9219" width="16" style="1009" customWidth="1"/>
    <col min="9220" max="9220" width="15" style="1009" customWidth="1"/>
    <col min="9221" max="9221" width="14" style="1009" customWidth="1"/>
    <col min="9222" max="9222" width="13.6640625" style="1009" customWidth="1"/>
    <col min="9223" max="9223" width="13.33203125" style="1009" customWidth="1"/>
    <col min="9224" max="9224" width="12.33203125" style="1009" customWidth="1"/>
    <col min="9225" max="9226" width="12" style="1009" customWidth="1"/>
    <col min="9227" max="9227" width="14.83203125" style="1009" customWidth="1"/>
    <col min="9228" max="9228" width="12.6640625" style="1009" bestFit="1" customWidth="1"/>
    <col min="9229" max="9472" width="12.5" style="1009"/>
    <col min="9473" max="9473" width="35.83203125" style="1009" customWidth="1"/>
    <col min="9474" max="9474" width="12" style="1009" customWidth="1"/>
    <col min="9475" max="9475" width="16" style="1009" customWidth="1"/>
    <col min="9476" max="9476" width="15" style="1009" customWidth="1"/>
    <col min="9477" max="9477" width="14" style="1009" customWidth="1"/>
    <col min="9478" max="9478" width="13.6640625" style="1009" customWidth="1"/>
    <col min="9479" max="9479" width="13.33203125" style="1009" customWidth="1"/>
    <col min="9480" max="9480" width="12.33203125" style="1009" customWidth="1"/>
    <col min="9481" max="9482" width="12" style="1009" customWidth="1"/>
    <col min="9483" max="9483" width="14.83203125" style="1009" customWidth="1"/>
    <col min="9484" max="9484" width="12.6640625" style="1009" bestFit="1" customWidth="1"/>
    <col min="9485" max="9728" width="12.5" style="1009"/>
    <col min="9729" max="9729" width="35.83203125" style="1009" customWidth="1"/>
    <col min="9730" max="9730" width="12" style="1009" customWidth="1"/>
    <col min="9731" max="9731" width="16" style="1009" customWidth="1"/>
    <col min="9732" max="9732" width="15" style="1009" customWidth="1"/>
    <col min="9733" max="9733" width="14" style="1009" customWidth="1"/>
    <col min="9734" max="9734" width="13.6640625" style="1009" customWidth="1"/>
    <col min="9735" max="9735" width="13.33203125" style="1009" customWidth="1"/>
    <col min="9736" max="9736" width="12.33203125" style="1009" customWidth="1"/>
    <col min="9737" max="9738" width="12" style="1009" customWidth="1"/>
    <col min="9739" max="9739" width="14.83203125" style="1009" customWidth="1"/>
    <col min="9740" max="9740" width="12.6640625" style="1009" bestFit="1" customWidth="1"/>
    <col min="9741" max="9984" width="12.5" style="1009"/>
    <col min="9985" max="9985" width="35.83203125" style="1009" customWidth="1"/>
    <col min="9986" max="9986" width="12" style="1009" customWidth="1"/>
    <col min="9987" max="9987" width="16" style="1009" customWidth="1"/>
    <col min="9988" max="9988" width="15" style="1009" customWidth="1"/>
    <col min="9989" max="9989" width="14" style="1009" customWidth="1"/>
    <col min="9990" max="9990" width="13.6640625" style="1009" customWidth="1"/>
    <col min="9991" max="9991" width="13.33203125" style="1009" customWidth="1"/>
    <col min="9992" max="9992" width="12.33203125" style="1009" customWidth="1"/>
    <col min="9993" max="9994" width="12" style="1009" customWidth="1"/>
    <col min="9995" max="9995" width="14.83203125" style="1009" customWidth="1"/>
    <col min="9996" max="9996" width="12.6640625" style="1009" bestFit="1" customWidth="1"/>
    <col min="9997" max="10240" width="12.5" style="1009"/>
    <col min="10241" max="10241" width="35.83203125" style="1009" customWidth="1"/>
    <col min="10242" max="10242" width="12" style="1009" customWidth="1"/>
    <col min="10243" max="10243" width="16" style="1009" customWidth="1"/>
    <col min="10244" max="10244" width="15" style="1009" customWidth="1"/>
    <col min="10245" max="10245" width="14" style="1009" customWidth="1"/>
    <col min="10246" max="10246" width="13.6640625" style="1009" customWidth="1"/>
    <col min="10247" max="10247" width="13.33203125" style="1009" customWidth="1"/>
    <col min="10248" max="10248" width="12.33203125" style="1009" customWidth="1"/>
    <col min="10249" max="10250" width="12" style="1009" customWidth="1"/>
    <col min="10251" max="10251" width="14.83203125" style="1009" customWidth="1"/>
    <col min="10252" max="10252" width="12.6640625" style="1009" bestFit="1" customWidth="1"/>
    <col min="10253" max="10496" width="12.5" style="1009"/>
    <col min="10497" max="10497" width="35.83203125" style="1009" customWidth="1"/>
    <col min="10498" max="10498" width="12" style="1009" customWidth="1"/>
    <col min="10499" max="10499" width="16" style="1009" customWidth="1"/>
    <col min="10500" max="10500" width="15" style="1009" customWidth="1"/>
    <col min="10501" max="10501" width="14" style="1009" customWidth="1"/>
    <col min="10502" max="10502" width="13.6640625" style="1009" customWidth="1"/>
    <col min="10503" max="10503" width="13.33203125" style="1009" customWidth="1"/>
    <col min="10504" max="10504" width="12.33203125" style="1009" customWidth="1"/>
    <col min="10505" max="10506" width="12" style="1009" customWidth="1"/>
    <col min="10507" max="10507" width="14.83203125" style="1009" customWidth="1"/>
    <col min="10508" max="10508" width="12.6640625" style="1009" bestFit="1" customWidth="1"/>
    <col min="10509" max="10752" width="12.5" style="1009"/>
    <col min="10753" max="10753" width="35.83203125" style="1009" customWidth="1"/>
    <col min="10754" max="10754" width="12" style="1009" customWidth="1"/>
    <col min="10755" max="10755" width="16" style="1009" customWidth="1"/>
    <col min="10756" max="10756" width="15" style="1009" customWidth="1"/>
    <col min="10757" max="10757" width="14" style="1009" customWidth="1"/>
    <col min="10758" max="10758" width="13.6640625" style="1009" customWidth="1"/>
    <col min="10759" max="10759" width="13.33203125" style="1009" customWidth="1"/>
    <col min="10760" max="10760" width="12.33203125" style="1009" customWidth="1"/>
    <col min="10761" max="10762" width="12" style="1009" customWidth="1"/>
    <col min="10763" max="10763" width="14.83203125" style="1009" customWidth="1"/>
    <col min="10764" max="10764" width="12.6640625" style="1009" bestFit="1" customWidth="1"/>
    <col min="10765" max="11008" width="12.5" style="1009"/>
    <col min="11009" max="11009" width="35.83203125" style="1009" customWidth="1"/>
    <col min="11010" max="11010" width="12" style="1009" customWidth="1"/>
    <col min="11011" max="11011" width="16" style="1009" customWidth="1"/>
    <col min="11012" max="11012" width="15" style="1009" customWidth="1"/>
    <col min="11013" max="11013" width="14" style="1009" customWidth="1"/>
    <col min="11014" max="11014" width="13.6640625" style="1009" customWidth="1"/>
    <col min="11015" max="11015" width="13.33203125" style="1009" customWidth="1"/>
    <col min="11016" max="11016" width="12.33203125" style="1009" customWidth="1"/>
    <col min="11017" max="11018" width="12" style="1009" customWidth="1"/>
    <col min="11019" max="11019" width="14.83203125" style="1009" customWidth="1"/>
    <col min="11020" max="11020" width="12.6640625" style="1009" bestFit="1" customWidth="1"/>
    <col min="11021" max="11264" width="12.5" style="1009"/>
    <col min="11265" max="11265" width="35.83203125" style="1009" customWidth="1"/>
    <col min="11266" max="11266" width="12" style="1009" customWidth="1"/>
    <col min="11267" max="11267" width="16" style="1009" customWidth="1"/>
    <col min="11268" max="11268" width="15" style="1009" customWidth="1"/>
    <col min="11269" max="11269" width="14" style="1009" customWidth="1"/>
    <col min="11270" max="11270" width="13.6640625" style="1009" customWidth="1"/>
    <col min="11271" max="11271" width="13.33203125" style="1009" customWidth="1"/>
    <col min="11272" max="11272" width="12.33203125" style="1009" customWidth="1"/>
    <col min="11273" max="11274" width="12" style="1009" customWidth="1"/>
    <col min="11275" max="11275" width="14.83203125" style="1009" customWidth="1"/>
    <col min="11276" max="11276" width="12.6640625" style="1009" bestFit="1" customWidth="1"/>
    <col min="11277" max="11520" width="12.5" style="1009"/>
    <col min="11521" max="11521" width="35.83203125" style="1009" customWidth="1"/>
    <col min="11522" max="11522" width="12" style="1009" customWidth="1"/>
    <col min="11523" max="11523" width="16" style="1009" customWidth="1"/>
    <col min="11524" max="11524" width="15" style="1009" customWidth="1"/>
    <col min="11525" max="11525" width="14" style="1009" customWidth="1"/>
    <col min="11526" max="11526" width="13.6640625" style="1009" customWidth="1"/>
    <col min="11527" max="11527" width="13.33203125" style="1009" customWidth="1"/>
    <col min="11528" max="11528" width="12.33203125" style="1009" customWidth="1"/>
    <col min="11529" max="11530" width="12" style="1009" customWidth="1"/>
    <col min="11531" max="11531" width="14.83203125" style="1009" customWidth="1"/>
    <col min="11532" max="11532" width="12.6640625" style="1009" bestFit="1" customWidth="1"/>
    <col min="11533" max="11776" width="12.5" style="1009"/>
    <col min="11777" max="11777" width="35.83203125" style="1009" customWidth="1"/>
    <col min="11778" max="11778" width="12" style="1009" customWidth="1"/>
    <col min="11779" max="11779" width="16" style="1009" customWidth="1"/>
    <col min="11780" max="11780" width="15" style="1009" customWidth="1"/>
    <col min="11781" max="11781" width="14" style="1009" customWidth="1"/>
    <col min="11782" max="11782" width="13.6640625" style="1009" customWidth="1"/>
    <col min="11783" max="11783" width="13.33203125" style="1009" customWidth="1"/>
    <col min="11784" max="11784" width="12.33203125" style="1009" customWidth="1"/>
    <col min="11785" max="11786" width="12" style="1009" customWidth="1"/>
    <col min="11787" max="11787" width="14.83203125" style="1009" customWidth="1"/>
    <col min="11788" max="11788" width="12.6640625" style="1009" bestFit="1" customWidth="1"/>
    <col min="11789" max="12032" width="12.5" style="1009"/>
    <col min="12033" max="12033" width="35.83203125" style="1009" customWidth="1"/>
    <col min="12034" max="12034" width="12" style="1009" customWidth="1"/>
    <col min="12035" max="12035" width="16" style="1009" customWidth="1"/>
    <col min="12036" max="12036" width="15" style="1009" customWidth="1"/>
    <col min="12037" max="12037" width="14" style="1009" customWidth="1"/>
    <col min="12038" max="12038" width="13.6640625" style="1009" customWidth="1"/>
    <col min="12039" max="12039" width="13.33203125" style="1009" customWidth="1"/>
    <col min="12040" max="12040" width="12.33203125" style="1009" customWidth="1"/>
    <col min="12041" max="12042" width="12" style="1009" customWidth="1"/>
    <col min="12043" max="12043" width="14.83203125" style="1009" customWidth="1"/>
    <col min="12044" max="12044" width="12.6640625" style="1009" bestFit="1" customWidth="1"/>
    <col min="12045" max="12288" width="12.5" style="1009"/>
    <col min="12289" max="12289" width="35.83203125" style="1009" customWidth="1"/>
    <col min="12290" max="12290" width="12" style="1009" customWidth="1"/>
    <col min="12291" max="12291" width="16" style="1009" customWidth="1"/>
    <col min="12292" max="12292" width="15" style="1009" customWidth="1"/>
    <col min="12293" max="12293" width="14" style="1009" customWidth="1"/>
    <col min="12294" max="12294" width="13.6640625" style="1009" customWidth="1"/>
    <col min="12295" max="12295" width="13.33203125" style="1009" customWidth="1"/>
    <col min="12296" max="12296" width="12.33203125" style="1009" customWidth="1"/>
    <col min="12297" max="12298" width="12" style="1009" customWidth="1"/>
    <col min="12299" max="12299" width="14.83203125" style="1009" customWidth="1"/>
    <col min="12300" max="12300" width="12.6640625" style="1009" bestFit="1" customWidth="1"/>
    <col min="12301" max="12544" width="12.5" style="1009"/>
    <col min="12545" max="12545" width="35.83203125" style="1009" customWidth="1"/>
    <col min="12546" max="12546" width="12" style="1009" customWidth="1"/>
    <col min="12547" max="12547" width="16" style="1009" customWidth="1"/>
    <col min="12548" max="12548" width="15" style="1009" customWidth="1"/>
    <col min="12549" max="12549" width="14" style="1009" customWidth="1"/>
    <col min="12550" max="12550" width="13.6640625" style="1009" customWidth="1"/>
    <col min="12551" max="12551" width="13.33203125" style="1009" customWidth="1"/>
    <col min="12552" max="12552" width="12.33203125" style="1009" customWidth="1"/>
    <col min="12553" max="12554" width="12" style="1009" customWidth="1"/>
    <col min="12555" max="12555" width="14.83203125" style="1009" customWidth="1"/>
    <col min="12556" max="12556" width="12.6640625" style="1009" bestFit="1" customWidth="1"/>
    <col min="12557" max="12800" width="12.5" style="1009"/>
    <col min="12801" max="12801" width="35.83203125" style="1009" customWidth="1"/>
    <col min="12802" max="12802" width="12" style="1009" customWidth="1"/>
    <col min="12803" max="12803" width="16" style="1009" customWidth="1"/>
    <col min="12804" max="12804" width="15" style="1009" customWidth="1"/>
    <col min="12805" max="12805" width="14" style="1009" customWidth="1"/>
    <col min="12806" max="12806" width="13.6640625" style="1009" customWidth="1"/>
    <col min="12807" max="12807" width="13.33203125" style="1009" customWidth="1"/>
    <col min="12808" max="12808" width="12.33203125" style="1009" customWidth="1"/>
    <col min="12809" max="12810" width="12" style="1009" customWidth="1"/>
    <col min="12811" max="12811" width="14.83203125" style="1009" customWidth="1"/>
    <col min="12812" max="12812" width="12.6640625" style="1009" bestFit="1" customWidth="1"/>
    <col min="12813" max="13056" width="12.5" style="1009"/>
    <col min="13057" max="13057" width="35.83203125" style="1009" customWidth="1"/>
    <col min="13058" max="13058" width="12" style="1009" customWidth="1"/>
    <col min="13059" max="13059" width="16" style="1009" customWidth="1"/>
    <col min="13060" max="13060" width="15" style="1009" customWidth="1"/>
    <col min="13061" max="13061" width="14" style="1009" customWidth="1"/>
    <col min="13062" max="13062" width="13.6640625" style="1009" customWidth="1"/>
    <col min="13063" max="13063" width="13.33203125" style="1009" customWidth="1"/>
    <col min="13064" max="13064" width="12.33203125" style="1009" customWidth="1"/>
    <col min="13065" max="13066" width="12" style="1009" customWidth="1"/>
    <col min="13067" max="13067" width="14.83203125" style="1009" customWidth="1"/>
    <col min="13068" max="13068" width="12.6640625" style="1009" bestFit="1" customWidth="1"/>
    <col min="13069" max="13312" width="12.5" style="1009"/>
    <col min="13313" max="13313" width="35.83203125" style="1009" customWidth="1"/>
    <col min="13314" max="13314" width="12" style="1009" customWidth="1"/>
    <col min="13315" max="13315" width="16" style="1009" customWidth="1"/>
    <col min="13316" max="13316" width="15" style="1009" customWidth="1"/>
    <col min="13317" max="13317" width="14" style="1009" customWidth="1"/>
    <col min="13318" max="13318" width="13.6640625" style="1009" customWidth="1"/>
    <col min="13319" max="13319" width="13.33203125" style="1009" customWidth="1"/>
    <col min="13320" max="13320" width="12.33203125" style="1009" customWidth="1"/>
    <col min="13321" max="13322" width="12" style="1009" customWidth="1"/>
    <col min="13323" max="13323" width="14.83203125" style="1009" customWidth="1"/>
    <col min="13324" max="13324" width="12.6640625" style="1009" bestFit="1" customWidth="1"/>
    <col min="13325" max="13568" width="12.5" style="1009"/>
    <col min="13569" max="13569" width="35.83203125" style="1009" customWidth="1"/>
    <col min="13570" max="13570" width="12" style="1009" customWidth="1"/>
    <col min="13571" max="13571" width="16" style="1009" customWidth="1"/>
    <col min="13572" max="13572" width="15" style="1009" customWidth="1"/>
    <col min="13573" max="13573" width="14" style="1009" customWidth="1"/>
    <col min="13574" max="13574" width="13.6640625" style="1009" customWidth="1"/>
    <col min="13575" max="13575" width="13.33203125" style="1009" customWidth="1"/>
    <col min="13576" max="13576" width="12.33203125" style="1009" customWidth="1"/>
    <col min="13577" max="13578" width="12" style="1009" customWidth="1"/>
    <col min="13579" max="13579" width="14.83203125" style="1009" customWidth="1"/>
    <col min="13580" max="13580" width="12.6640625" style="1009" bestFit="1" customWidth="1"/>
    <col min="13581" max="13824" width="12.5" style="1009"/>
    <col min="13825" max="13825" width="35.83203125" style="1009" customWidth="1"/>
    <col min="13826" max="13826" width="12" style="1009" customWidth="1"/>
    <col min="13827" max="13827" width="16" style="1009" customWidth="1"/>
    <col min="13828" max="13828" width="15" style="1009" customWidth="1"/>
    <col min="13829" max="13829" width="14" style="1009" customWidth="1"/>
    <col min="13830" max="13830" width="13.6640625" style="1009" customWidth="1"/>
    <col min="13831" max="13831" width="13.33203125" style="1009" customWidth="1"/>
    <col min="13832" max="13832" width="12.33203125" style="1009" customWidth="1"/>
    <col min="13833" max="13834" width="12" style="1009" customWidth="1"/>
    <col min="13835" max="13835" width="14.83203125" style="1009" customWidth="1"/>
    <col min="13836" max="13836" width="12.6640625" style="1009" bestFit="1" customWidth="1"/>
    <col min="13837" max="14080" width="12.5" style="1009"/>
    <col min="14081" max="14081" width="35.83203125" style="1009" customWidth="1"/>
    <col min="14082" max="14082" width="12" style="1009" customWidth="1"/>
    <col min="14083" max="14083" width="16" style="1009" customWidth="1"/>
    <col min="14084" max="14084" width="15" style="1009" customWidth="1"/>
    <col min="14085" max="14085" width="14" style="1009" customWidth="1"/>
    <col min="14086" max="14086" width="13.6640625" style="1009" customWidth="1"/>
    <col min="14087" max="14087" width="13.33203125" style="1009" customWidth="1"/>
    <col min="14088" max="14088" width="12.33203125" style="1009" customWidth="1"/>
    <col min="14089" max="14090" width="12" style="1009" customWidth="1"/>
    <col min="14091" max="14091" width="14.83203125" style="1009" customWidth="1"/>
    <col min="14092" max="14092" width="12.6640625" style="1009" bestFit="1" customWidth="1"/>
    <col min="14093" max="14336" width="12.5" style="1009"/>
    <col min="14337" max="14337" width="35.83203125" style="1009" customWidth="1"/>
    <col min="14338" max="14338" width="12" style="1009" customWidth="1"/>
    <col min="14339" max="14339" width="16" style="1009" customWidth="1"/>
    <col min="14340" max="14340" width="15" style="1009" customWidth="1"/>
    <col min="14341" max="14341" width="14" style="1009" customWidth="1"/>
    <col min="14342" max="14342" width="13.6640625" style="1009" customWidth="1"/>
    <col min="14343" max="14343" width="13.33203125" style="1009" customWidth="1"/>
    <col min="14344" max="14344" width="12.33203125" style="1009" customWidth="1"/>
    <col min="14345" max="14346" width="12" style="1009" customWidth="1"/>
    <col min="14347" max="14347" width="14.83203125" style="1009" customWidth="1"/>
    <col min="14348" max="14348" width="12.6640625" style="1009" bestFit="1" customWidth="1"/>
    <col min="14349" max="14592" width="12.5" style="1009"/>
    <col min="14593" max="14593" width="35.83203125" style="1009" customWidth="1"/>
    <col min="14594" max="14594" width="12" style="1009" customWidth="1"/>
    <col min="14595" max="14595" width="16" style="1009" customWidth="1"/>
    <col min="14596" max="14596" width="15" style="1009" customWidth="1"/>
    <col min="14597" max="14597" width="14" style="1009" customWidth="1"/>
    <col min="14598" max="14598" width="13.6640625" style="1009" customWidth="1"/>
    <col min="14599" max="14599" width="13.33203125" style="1009" customWidth="1"/>
    <col min="14600" max="14600" width="12.33203125" style="1009" customWidth="1"/>
    <col min="14601" max="14602" width="12" style="1009" customWidth="1"/>
    <col min="14603" max="14603" width="14.83203125" style="1009" customWidth="1"/>
    <col min="14604" max="14604" width="12.6640625" style="1009" bestFit="1" customWidth="1"/>
    <col min="14605" max="14848" width="12.5" style="1009"/>
    <col min="14849" max="14849" width="35.83203125" style="1009" customWidth="1"/>
    <col min="14850" max="14850" width="12" style="1009" customWidth="1"/>
    <col min="14851" max="14851" width="16" style="1009" customWidth="1"/>
    <col min="14852" max="14852" width="15" style="1009" customWidth="1"/>
    <col min="14853" max="14853" width="14" style="1009" customWidth="1"/>
    <col min="14854" max="14854" width="13.6640625" style="1009" customWidth="1"/>
    <col min="14855" max="14855" width="13.33203125" style="1009" customWidth="1"/>
    <col min="14856" max="14856" width="12.33203125" style="1009" customWidth="1"/>
    <col min="14857" max="14858" width="12" style="1009" customWidth="1"/>
    <col min="14859" max="14859" width="14.83203125" style="1009" customWidth="1"/>
    <col min="14860" max="14860" width="12.6640625" style="1009" bestFit="1" customWidth="1"/>
    <col min="14861" max="15104" width="12.5" style="1009"/>
    <col min="15105" max="15105" width="35.83203125" style="1009" customWidth="1"/>
    <col min="15106" max="15106" width="12" style="1009" customWidth="1"/>
    <col min="15107" max="15107" width="16" style="1009" customWidth="1"/>
    <col min="15108" max="15108" width="15" style="1009" customWidth="1"/>
    <col min="15109" max="15109" width="14" style="1009" customWidth="1"/>
    <col min="15110" max="15110" width="13.6640625" style="1009" customWidth="1"/>
    <col min="15111" max="15111" width="13.33203125" style="1009" customWidth="1"/>
    <col min="15112" max="15112" width="12.33203125" style="1009" customWidth="1"/>
    <col min="15113" max="15114" width="12" style="1009" customWidth="1"/>
    <col min="15115" max="15115" width="14.83203125" style="1009" customWidth="1"/>
    <col min="15116" max="15116" width="12.6640625" style="1009" bestFit="1" customWidth="1"/>
    <col min="15117" max="15360" width="12.5" style="1009"/>
    <col min="15361" max="15361" width="35.83203125" style="1009" customWidth="1"/>
    <col min="15362" max="15362" width="12" style="1009" customWidth="1"/>
    <col min="15363" max="15363" width="16" style="1009" customWidth="1"/>
    <col min="15364" max="15364" width="15" style="1009" customWidth="1"/>
    <col min="15365" max="15365" width="14" style="1009" customWidth="1"/>
    <col min="15366" max="15366" width="13.6640625" style="1009" customWidth="1"/>
    <col min="15367" max="15367" width="13.33203125" style="1009" customWidth="1"/>
    <col min="15368" max="15368" width="12.33203125" style="1009" customWidth="1"/>
    <col min="15369" max="15370" width="12" style="1009" customWidth="1"/>
    <col min="15371" max="15371" width="14.83203125" style="1009" customWidth="1"/>
    <col min="15372" max="15372" width="12.6640625" style="1009" bestFit="1" customWidth="1"/>
    <col min="15373" max="15616" width="12.5" style="1009"/>
    <col min="15617" max="15617" width="35.83203125" style="1009" customWidth="1"/>
    <col min="15618" max="15618" width="12" style="1009" customWidth="1"/>
    <col min="15619" max="15619" width="16" style="1009" customWidth="1"/>
    <col min="15620" max="15620" width="15" style="1009" customWidth="1"/>
    <col min="15621" max="15621" width="14" style="1009" customWidth="1"/>
    <col min="15622" max="15622" width="13.6640625" style="1009" customWidth="1"/>
    <col min="15623" max="15623" width="13.33203125" style="1009" customWidth="1"/>
    <col min="15624" max="15624" width="12.33203125" style="1009" customWidth="1"/>
    <col min="15625" max="15626" width="12" style="1009" customWidth="1"/>
    <col min="15627" max="15627" width="14.83203125" style="1009" customWidth="1"/>
    <col min="15628" max="15628" width="12.6640625" style="1009" bestFit="1" customWidth="1"/>
    <col min="15629" max="15872" width="12.5" style="1009"/>
    <col min="15873" max="15873" width="35.83203125" style="1009" customWidth="1"/>
    <col min="15874" max="15874" width="12" style="1009" customWidth="1"/>
    <col min="15875" max="15875" width="16" style="1009" customWidth="1"/>
    <col min="15876" max="15876" width="15" style="1009" customWidth="1"/>
    <col min="15877" max="15877" width="14" style="1009" customWidth="1"/>
    <col min="15878" max="15878" width="13.6640625" style="1009" customWidth="1"/>
    <col min="15879" max="15879" width="13.33203125" style="1009" customWidth="1"/>
    <col min="15880" max="15880" width="12.33203125" style="1009" customWidth="1"/>
    <col min="15881" max="15882" width="12" style="1009" customWidth="1"/>
    <col min="15883" max="15883" width="14.83203125" style="1009" customWidth="1"/>
    <col min="15884" max="15884" width="12.6640625" style="1009" bestFit="1" customWidth="1"/>
    <col min="15885" max="16128" width="12.5" style="1009"/>
    <col min="16129" max="16129" width="35.83203125" style="1009" customWidth="1"/>
    <col min="16130" max="16130" width="12" style="1009" customWidth="1"/>
    <col min="16131" max="16131" width="16" style="1009" customWidth="1"/>
    <col min="16132" max="16132" width="15" style="1009" customWidth="1"/>
    <col min="16133" max="16133" width="14" style="1009" customWidth="1"/>
    <col min="16134" max="16134" width="13.6640625" style="1009" customWidth="1"/>
    <col min="16135" max="16135" width="13.33203125" style="1009" customWidth="1"/>
    <col min="16136" max="16136" width="12.33203125" style="1009" customWidth="1"/>
    <col min="16137" max="16138" width="12" style="1009" customWidth="1"/>
    <col min="16139" max="16139" width="14.83203125" style="1009" customWidth="1"/>
    <col min="16140" max="16140" width="12.6640625" style="1009" bestFit="1" customWidth="1"/>
    <col min="16141" max="16384" width="12.5" style="1009"/>
  </cols>
  <sheetData>
    <row r="1" spans="1:12" x14ac:dyDescent="0.2">
      <c r="A1" s="1007"/>
      <c r="B1" s="1034"/>
      <c r="C1" s="1034"/>
      <c r="D1" s="1053"/>
      <c r="E1" s="1034"/>
      <c r="F1" s="1034"/>
      <c r="I1" s="1054"/>
      <c r="J1" s="1054"/>
      <c r="K1" s="1055"/>
    </row>
    <row r="2" spans="1:12" x14ac:dyDescent="0.2">
      <c r="A2" s="1007"/>
      <c r="B2" s="1034"/>
      <c r="C2" s="1034"/>
      <c r="D2" s="1053"/>
      <c r="E2" s="1034"/>
      <c r="F2" s="1034"/>
      <c r="G2" s="1056"/>
      <c r="H2" s="1056"/>
      <c r="I2" s="1056"/>
      <c r="J2" s="1056"/>
      <c r="K2" s="1057"/>
    </row>
    <row r="3" spans="1:12" x14ac:dyDescent="0.2">
      <c r="A3" s="1007"/>
      <c r="B3" s="1034"/>
      <c r="C3" s="1034"/>
      <c r="D3" s="1053"/>
      <c r="E3" s="1034"/>
      <c r="F3" s="1034"/>
      <c r="G3" s="1056"/>
      <c r="H3" s="1056"/>
      <c r="I3" s="1056"/>
      <c r="J3" s="1056"/>
      <c r="K3" s="1058"/>
    </row>
    <row r="4" spans="1:12" ht="19.5" x14ac:dyDescent="0.35">
      <c r="A4" s="1008" t="s">
        <v>374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</row>
    <row r="5" spans="1:12" ht="19.5" x14ac:dyDescent="0.35">
      <c r="A5" s="1008" t="s">
        <v>609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</row>
    <row r="6" spans="1:12" ht="13.5" thickBot="1" x14ac:dyDescent="0.25">
      <c r="A6" s="1007"/>
      <c r="B6" s="1034"/>
      <c r="C6" s="1034"/>
      <c r="D6" s="1053"/>
      <c r="E6" s="1034"/>
      <c r="F6" s="1034"/>
      <c r="G6" s="1034"/>
      <c r="H6" s="1034"/>
      <c r="I6" s="1034"/>
      <c r="J6" s="1034"/>
      <c r="K6" s="1060" t="s">
        <v>5</v>
      </c>
    </row>
    <row r="7" spans="1:12" ht="15.95" customHeight="1" x14ac:dyDescent="0.2">
      <c r="A7" s="1208" t="s">
        <v>2</v>
      </c>
      <c r="B7" s="1211" t="s">
        <v>375</v>
      </c>
      <c r="C7" s="1212"/>
      <c r="D7" s="1212"/>
      <c r="E7" s="1213" t="s">
        <v>565</v>
      </c>
      <c r="F7" s="1214"/>
      <c r="G7" s="1214"/>
      <c r="H7" s="1214"/>
      <c r="I7" s="1214"/>
      <c r="J7" s="1214"/>
      <c r="K7" s="1215"/>
    </row>
    <row r="8" spans="1:12" ht="15.95" customHeight="1" x14ac:dyDescent="0.2">
      <c r="A8" s="1209"/>
      <c r="B8" s="1061" t="s">
        <v>376</v>
      </c>
      <c r="C8" s="1061" t="s">
        <v>377</v>
      </c>
      <c r="D8" s="1061" t="s">
        <v>378</v>
      </c>
      <c r="E8" s="1061" t="s">
        <v>379</v>
      </c>
      <c r="F8" s="1061" t="s">
        <v>380</v>
      </c>
      <c r="G8" s="1061" t="s">
        <v>381</v>
      </c>
      <c r="H8" s="1216" t="s">
        <v>581</v>
      </c>
      <c r="I8" s="1061" t="s">
        <v>382</v>
      </c>
      <c r="J8" s="1061" t="s">
        <v>383</v>
      </c>
      <c r="K8" s="1062" t="s">
        <v>378</v>
      </c>
    </row>
    <row r="9" spans="1:12" s="1037" customFormat="1" ht="15.95" customHeight="1" x14ac:dyDescent="0.2">
      <c r="A9" s="1210"/>
      <c r="B9" s="1061" t="s">
        <v>384</v>
      </c>
      <c r="C9" s="1061" t="s">
        <v>385</v>
      </c>
      <c r="D9" s="1061" t="s">
        <v>386</v>
      </c>
      <c r="E9" s="1061" t="s">
        <v>387</v>
      </c>
      <c r="F9" s="1061" t="s">
        <v>388</v>
      </c>
      <c r="G9" s="1061" t="s">
        <v>389</v>
      </c>
      <c r="H9" s="1217"/>
      <c r="I9" s="1061" t="s">
        <v>390</v>
      </c>
      <c r="J9" s="1061" t="s">
        <v>389</v>
      </c>
      <c r="K9" s="1062" t="s">
        <v>391</v>
      </c>
    </row>
    <row r="10" spans="1:12" s="1037" customFormat="1" ht="15.95" customHeight="1" x14ac:dyDescent="0.2">
      <c r="A10" s="1078" t="s">
        <v>392</v>
      </c>
      <c r="B10" s="1029">
        <f>65308111+1631175+11081+1398150+1334000+10895-2396000</f>
        <v>67297412</v>
      </c>
      <c r="C10" s="1029">
        <f t="shared" ref="C10:C14" si="0">K10-B10</f>
        <v>204997774</v>
      </c>
      <c r="D10" s="1029">
        <f t="shared" ref="D10:D14" si="1">SUM(B10:C10)</f>
        <v>272295186</v>
      </c>
      <c r="E10" s="1031">
        <f>60512486+720000+1365000+110000+9273+1170000+300000+9272-47396</f>
        <v>64148635</v>
      </c>
      <c r="F10" s="1031">
        <f>13261042+126360+266175+44781+1808+228150+58500-491420+1623-14288</f>
        <v>13482731</v>
      </c>
      <c r="G10" s="1029">
        <f>229985778+932600+1350000+200000+6888619+1555980-43110023+661250+425482+1227000+61684-6090600</f>
        <v>194087770</v>
      </c>
      <c r="H10" s="1031"/>
      <c r="I10" s="1031"/>
      <c r="J10" s="1031">
        <f>506050+70000</f>
        <v>576050</v>
      </c>
      <c r="K10" s="1030">
        <f t="shared" ref="K10:K15" si="2">SUM(E10:J10)</f>
        <v>272295186</v>
      </c>
    </row>
    <row r="11" spans="1:12" s="1037" customFormat="1" ht="15.95" customHeight="1" x14ac:dyDescent="0.2">
      <c r="A11" s="1078" t="s">
        <v>0</v>
      </c>
      <c r="B11" s="1029">
        <f>8436314+44530+699075+28183+60000+50800+762000+33176-699075+60000</f>
        <v>9475003</v>
      </c>
      <c r="C11" s="1029">
        <f t="shared" si="0"/>
        <v>318226252</v>
      </c>
      <c r="D11" s="1029">
        <f t="shared" si="1"/>
        <v>327701255</v>
      </c>
      <c r="E11" s="1029">
        <f>208655734+585000+3502648+18270-920500+1689975+28235-8085000</f>
        <v>205474362</v>
      </c>
      <c r="F11" s="1029">
        <f>44850807+114075+683016+3563-1943023-179500+295746+4941-2114075</f>
        <v>41715550</v>
      </c>
      <c r="G11" s="1029">
        <f>80145873+44530+80000+81950+110800+15000+762000+1100000+50000-5000000</f>
        <v>77390153</v>
      </c>
      <c r="H11" s="1031"/>
      <c r="I11" s="1031"/>
      <c r="J11" s="1031">
        <f>2891790-75600+110000+110000+85000</f>
        <v>3121190</v>
      </c>
      <c r="K11" s="1030">
        <f t="shared" si="2"/>
        <v>327701255</v>
      </c>
    </row>
    <row r="12" spans="1:12" s="1037" customFormat="1" ht="15.95" customHeight="1" x14ac:dyDescent="0.2">
      <c r="A12" s="1078" t="s">
        <v>562</v>
      </c>
      <c r="B12" s="1031">
        <f>10844658+70000+545335+96000+458250+156773+114563</f>
        <v>12285579</v>
      </c>
      <c r="C12" s="1029">
        <f t="shared" si="0"/>
        <v>94961281</v>
      </c>
      <c r="D12" s="1029">
        <f t="shared" si="1"/>
        <v>107246860</v>
      </c>
      <c r="E12" s="1029">
        <f>48091292+21255+20000-162842+162842-210000+116000+50000+105500-200000+390000+19685-920500+194087+744000-203400-330000-528500-2000000</f>
        <v>45359419</v>
      </c>
      <c r="F12" s="1031">
        <f>9499320+4145+8142-40000+20355+18463-398671-35000+68250+9588-179500+124502-59850+227751</f>
        <v>9267495</v>
      </c>
      <c r="G12" s="1029">
        <f>50789082-932600-1350000+80000-1070000-25400+41858+545335+250000-116000-70355+331000+932600-150273+1100000+82550+247555+370312-4000000</f>
        <v>47055664</v>
      </c>
      <c r="H12" s="1031"/>
      <c r="I12" s="1031"/>
      <c r="J12" s="1031">
        <f>1986214+1070000+1654000+121000+299068+45000+389000</f>
        <v>5564282</v>
      </c>
      <c r="K12" s="1030">
        <f t="shared" si="2"/>
        <v>107246860</v>
      </c>
    </row>
    <row r="13" spans="1:12" s="1037" customFormat="1" ht="18" customHeight="1" x14ac:dyDescent="0.2">
      <c r="A13" s="1035" t="s">
        <v>547</v>
      </c>
      <c r="B13" s="1104">
        <f>220298971+14205555+75250+1659858+76652+16176+69613780+2355000+734271+211500+80000+132900-13400000+384546</f>
        <v>296444459</v>
      </c>
      <c r="C13" s="1029">
        <f t="shared" si="0"/>
        <v>569064201</v>
      </c>
      <c r="D13" s="1029">
        <f t="shared" si="1"/>
        <v>865508660</v>
      </c>
      <c r="E13" s="1029">
        <f>471445483+80000+1453144-232505-117000-1170000+877500-396148+49880000+500000+746013-1755000+73887+180000+390000+159700+327273</f>
        <v>522442347</v>
      </c>
      <c r="F13" s="1029">
        <f>98130166+15600+283366-49177-22700+292500-234362+13467600+87500-3757612+130552-342225+12930+31500+68250+27948+57273</f>
        <v>108199109</v>
      </c>
      <c r="G13" s="1031">
        <f>198957271+3644714-1850000+297858+139700-275591+275591-2791924+5173980+267500+34200+168000+500000+2097225+647454+80000+600000-187648-70000+2800000+132067</f>
        <v>210640397</v>
      </c>
      <c r="H13" s="1031"/>
      <c r="I13" s="1031">
        <f>3422434+308980</f>
        <v>3731414</v>
      </c>
      <c r="J13" s="1031">
        <f>13924683+74000+75250+200000-308980+1092200+1500000+801000+1524000+132900+70000+13500+1396840</f>
        <v>20495393</v>
      </c>
      <c r="K13" s="1030">
        <f t="shared" si="2"/>
        <v>865508660</v>
      </c>
    </row>
    <row r="14" spans="1:12" s="1037" customFormat="1" ht="18" customHeight="1" x14ac:dyDescent="0.2">
      <c r="A14" s="1035" t="s">
        <v>533</v>
      </c>
      <c r="B14" s="1104">
        <f>1273228+1631175+27424+26967+365000</f>
        <v>3323794</v>
      </c>
      <c r="C14" s="1029">
        <f t="shared" si="0"/>
        <v>91368385</v>
      </c>
      <c r="D14" s="1029">
        <f t="shared" si="1"/>
        <v>94692179</v>
      </c>
      <c r="E14" s="1032">
        <f>64039486+1365000+22949+22950-40000+315819</f>
        <v>65726204</v>
      </c>
      <c r="F14" s="1032">
        <f>12834203+266175+4475-534450+4017-16284+55268</f>
        <v>12613404</v>
      </c>
      <c r="G14" s="1105">
        <f>15749737-4000-63500+80000+56284+340000-1781000</f>
        <v>14377521</v>
      </c>
      <c r="H14" s="1032"/>
      <c r="I14" s="1032"/>
      <c r="J14" s="1032">
        <f>641350+4000+63500+1266200</f>
        <v>1975050</v>
      </c>
      <c r="K14" s="1030">
        <f t="shared" si="2"/>
        <v>94692179</v>
      </c>
    </row>
    <row r="15" spans="1:12" s="1037" customFormat="1" ht="18" customHeight="1" x14ac:dyDescent="0.2">
      <c r="A15" s="1035" t="s">
        <v>548</v>
      </c>
      <c r="B15" s="1070">
        <f>'9.2. sz. mell. '!C39+'9.2. sz. mell. '!C37</f>
        <v>15848546</v>
      </c>
      <c r="C15" s="1031">
        <f>K15-B15</f>
        <v>198851347</v>
      </c>
      <c r="D15" s="1036">
        <f>SUM(B15:C15)</f>
        <v>214699893</v>
      </c>
      <c r="E15" s="1032">
        <f>'9.2. sz. mell. '!C47</f>
        <v>146191970</v>
      </c>
      <c r="F15" s="1032">
        <f>'9.2. sz. mell. '!C48</f>
        <v>30034667</v>
      </c>
      <c r="G15" s="1032">
        <f>'9.2. sz. mell. '!C49</f>
        <v>34477389</v>
      </c>
      <c r="H15" s="1032"/>
      <c r="I15" s="1032"/>
      <c r="J15" s="1032">
        <f>'9.2. sz. mell. '!C52</f>
        <v>3995867</v>
      </c>
      <c r="K15" s="1033">
        <f t="shared" si="2"/>
        <v>214699893</v>
      </c>
    </row>
    <row r="16" spans="1:12" s="1069" customFormat="1" ht="18" customHeight="1" thickBot="1" x14ac:dyDescent="0.25">
      <c r="A16" s="1038" t="s">
        <v>394</v>
      </c>
      <c r="B16" s="1039">
        <f t="shared" ref="B16:J16" si="3">SUM(B10:B15)</f>
        <v>404674793</v>
      </c>
      <c r="C16" s="1039">
        <f>SUM(C10:C15)</f>
        <v>1477469240</v>
      </c>
      <c r="D16" s="1039">
        <f t="shared" si="3"/>
        <v>1882144033</v>
      </c>
      <c r="E16" s="1039">
        <f t="shared" si="3"/>
        <v>1049342937</v>
      </c>
      <c r="F16" s="1039">
        <f t="shared" si="3"/>
        <v>215312956</v>
      </c>
      <c r="G16" s="1039">
        <f t="shared" si="3"/>
        <v>578028894</v>
      </c>
      <c r="H16" s="1039">
        <f t="shared" si="3"/>
        <v>0</v>
      </c>
      <c r="I16" s="1039">
        <f t="shared" si="3"/>
        <v>3731414</v>
      </c>
      <c r="J16" s="1039">
        <f t="shared" si="3"/>
        <v>35727832</v>
      </c>
      <c r="K16" s="1063">
        <f>SUM(K10:K15)</f>
        <v>1882144033</v>
      </c>
      <c r="L16" s="1037"/>
    </row>
    <row r="17" spans="2:11" s="1015" customFormat="1" ht="11.25" x14ac:dyDescent="0.2">
      <c r="B17" s="1064"/>
      <c r="C17" s="1064"/>
      <c r="D17" s="1065"/>
      <c r="E17" s="1064"/>
      <c r="F17" s="1064"/>
      <c r="G17" s="1064"/>
      <c r="H17" s="1064"/>
      <c r="I17" s="1064"/>
      <c r="J17" s="1064"/>
      <c r="K17" s="1065"/>
    </row>
    <row r="18" spans="2:11" s="1015" customFormat="1" ht="11.25" x14ac:dyDescent="0.2">
      <c r="B18" s="1064"/>
      <c r="C18" s="1064"/>
      <c r="D18" s="1065"/>
      <c r="E18" s="1064"/>
      <c r="F18" s="1064"/>
      <c r="G18" s="1064"/>
      <c r="H18" s="1064"/>
      <c r="I18" s="1064"/>
      <c r="J18" s="1064"/>
      <c r="K18" s="1065"/>
    </row>
    <row r="19" spans="2:11" s="1015" customFormat="1" ht="11.25" x14ac:dyDescent="0.2">
      <c r="B19" s="1064"/>
      <c r="C19" s="1064"/>
      <c r="D19" s="1064"/>
      <c r="E19" s="1064"/>
      <c r="F19" s="1064"/>
      <c r="G19" s="1064"/>
      <c r="H19" s="1064"/>
      <c r="I19" s="1064"/>
      <c r="J19" s="1064"/>
      <c r="K19" s="1064"/>
    </row>
    <row r="20" spans="2:11" s="1016" customFormat="1" x14ac:dyDescent="0.2">
      <c r="B20" s="1066"/>
      <c r="C20" s="1066"/>
      <c r="D20" s="1066"/>
      <c r="E20" s="1066"/>
      <c r="F20" s="1066"/>
      <c r="G20" s="1066"/>
      <c r="H20" s="1066"/>
      <c r="I20" s="1066"/>
      <c r="J20" s="1066"/>
      <c r="K20" s="1066"/>
    </row>
    <row r="21" spans="2:11" s="1016" customFormat="1" x14ac:dyDescent="0.2">
      <c r="B21" s="1066"/>
      <c r="C21" s="1066"/>
      <c r="D21" s="1067"/>
      <c r="E21" s="1066"/>
      <c r="F21" s="1066"/>
      <c r="G21" s="1066"/>
      <c r="H21" s="1066"/>
      <c r="I21" s="1066"/>
      <c r="J21" s="1066"/>
      <c r="K21" s="1067"/>
    </row>
    <row r="22" spans="2:11" s="1016" customFormat="1" x14ac:dyDescent="0.2">
      <c r="B22" s="1066"/>
      <c r="C22" s="1066"/>
      <c r="D22" s="1067"/>
      <c r="E22" s="1066"/>
      <c r="F22" s="1066"/>
      <c r="G22" s="1066"/>
      <c r="H22" s="1066"/>
      <c r="I22" s="1066"/>
      <c r="J22" s="1066"/>
      <c r="K22" s="1067"/>
    </row>
    <row r="23" spans="2:11" s="1016" customFormat="1" x14ac:dyDescent="0.2">
      <c r="B23" s="1066"/>
      <c r="C23" s="1066"/>
      <c r="D23" s="1067"/>
      <c r="E23" s="1066"/>
      <c r="F23" s="1066"/>
      <c r="G23" s="1066"/>
      <c r="H23" s="1066"/>
      <c r="I23" s="1066"/>
      <c r="J23" s="1066"/>
      <c r="K23" s="1067"/>
    </row>
    <row r="24" spans="2:11" s="1016" customFormat="1" x14ac:dyDescent="0.2">
      <c r="B24" s="1066"/>
      <c r="C24" s="1066"/>
      <c r="D24" s="1067"/>
      <c r="E24" s="1066"/>
      <c r="F24" s="1066"/>
      <c r="G24" s="1066"/>
      <c r="H24" s="1066"/>
      <c r="I24" s="1066"/>
      <c r="J24" s="1066"/>
      <c r="K24" s="1067"/>
    </row>
    <row r="25" spans="2:11" s="1016" customFormat="1" x14ac:dyDescent="0.2">
      <c r="B25" s="1066"/>
      <c r="C25" s="1066"/>
      <c r="D25" s="1067"/>
      <c r="E25" s="1066"/>
      <c r="F25" s="1066"/>
      <c r="G25" s="1066"/>
      <c r="H25" s="1066"/>
      <c r="I25" s="1066"/>
      <c r="J25" s="1066"/>
      <c r="K25" s="1067"/>
    </row>
    <row r="26" spans="2:11" s="1016" customFormat="1" x14ac:dyDescent="0.2">
      <c r="B26" s="1066"/>
      <c r="C26" s="1066"/>
      <c r="D26" s="1067"/>
      <c r="E26" s="1066"/>
      <c r="F26" s="1066"/>
      <c r="G26" s="1066"/>
      <c r="H26" s="1066"/>
      <c r="I26" s="1066"/>
      <c r="J26" s="1066"/>
      <c r="K26" s="1067"/>
    </row>
    <row r="27" spans="2:11" s="1016" customFormat="1" x14ac:dyDescent="0.2">
      <c r="B27" s="1066"/>
      <c r="C27" s="1066"/>
      <c r="D27" s="1067"/>
      <c r="E27" s="1066"/>
      <c r="F27" s="1066"/>
      <c r="G27" s="1066"/>
      <c r="H27" s="1066"/>
      <c r="I27" s="1066"/>
      <c r="J27" s="1066"/>
      <c r="K27" s="1067"/>
    </row>
    <row r="28" spans="2:11" x14ac:dyDescent="0.2">
      <c r="C28" s="1068"/>
      <c r="G28" s="1068"/>
      <c r="H28" s="1068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26. számú melléklet a 4/2020.(II.28.)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view="pageLayout" zoomScaleNormal="100" workbookViewId="0">
      <selection activeCell="D16" sqref="D16"/>
    </sheetView>
  </sheetViews>
  <sheetFormatPr defaultColWidth="10.6640625" defaultRowHeight="12.75" x14ac:dyDescent="0.2"/>
  <cols>
    <col min="1" max="1" width="10" style="495" customWidth="1"/>
    <col min="2" max="2" width="37.33203125" style="495" customWidth="1"/>
    <col min="3" max="3" width="24.83203125" style="495" customWidth="1"/>
    <col min="4" max="4" width="22.6640625" style="495" customWidth="1"/>
    <col min="5" max="5" width="11.6640625" style="495" bestFit="1" customWidth="1"/>
    <col min="6" max="16384" width="10.6640625" style="495"/>
  </cols>
  <sheetData>
    <row r="1" spans="1:6" ht="15.75" x14ac:dyDescent="0.25">
      <c r="A1" s="314"/>
      <c r="B1" s="314"/>
      <c r="C1" s="314"/>
      <c r="D1" s="408"/>
    </row>
    <row r="2" spans="1:6" ht="15.75" x14ac:dyDescent="0.25">
      <c r="A2" s="314"/>
      <c r="B2" s="314"/>
      <c r="C2" s="314"/>
      <c r="D2" s="315"/>
    </row>
    <row r="3" spans="1:6" ht="15.75" x14ac:dyDescent="0.25">
      <c r="A3" s="314"/>
      <c r="B3" s="314"/>
      <c r="C3" s="314"/>
      <c r="D3" s="408"/>
    </row>
    <row r="4" spans="1:6" ht="15.75" x14ac:dyDescent="0.25">
      <c r="A4" s="314"/>
      <c r="B4" s="314"/>
      <c r="C4" s="314"/>
      <c r="D4" s="409"/>
    </row>
    <row r="5" spans="1:6" ht="15.75" x14ac:dyDescent="0.25">
      <c r="A5" s="314"/>
      <c r="B5" s="314"/>
      <c r="C5" s="314"/>
      <c r="D5" s="409"/>
    </row>
    <row r="6" spans="1:6" ht="15.75" x14ac:dyDescent="0.25">
      <c r="A6" s="314"/>
      <c r="B6" s="314"/>
      <c r="C6" s="314"/>
      <c r="D6" s="410"/>
    </row>
    <row r="7" spans="1:6" ht="19.5" x14ac:dyDescent="0.35">
      <c r="A7" s="316" t="s">
        <v>369</v>
      </c>
      <c r="B7" s="316"/>
      <c r="C7" s="316"/>
      <c r="D7" s="411"/>
    </row>
    <row r="8" spans="1:6" ht="19.5" x14ac:dyDescent="0.35">
      <c r="A8" s="316" t="s">
        <v>610</v>
      </c>
      <c r="B8" s="316"/>
      <c r="C8" s="316"/>
      <c r="D8" s="411"/>
    </row>
    <row r="9" spans="1:6" ht="19.5" x14ac:dyDescent="0.35">
      <c r="A9" s="316"/>
      <c r="B9" s="316"/>
      <c r="C9" s="316"/>
      <c r="D9" s="411"/>
    </row>
    <row r="10" spans="1:6" ht="19.5" x14ac:dyDescent="0.35">
      <c r="A10" s="316"/>
      <c r="B10" s="316"/>
      <c r="C10" s="316"/>
      <c r="D10" s="411"/>
    </row>
    <row r="11" spans="1:6" ht="19.5" x14ac:dyDescent="0.35">
      <c r="A11" s="316"/>
      <c r="B11" s="316"/>
      <c r="C11" s="316"/>
      <c r="D11" s="411"/>
    </row>
    <row r="12" spans="1:6" ht="19.5" x14ac:dyDescent="0.35">
      <c r="A12" s="316"/>
      <c r="B12" s="316"/>
      <c r="C12" s="316"/>
      <c r="D12" s="411"/>
    </row>
    <row r="13" spans="1:6" ht="16.5" thickBot="1" x14ac:dyDescent="0.3">
      <c r="A13" s="314"/>
      <c r="B13" s="314"/>
      <c r="C13" s="314"/>
      <c r="D13" s="412" t="s">
        <v>5</v>
      </c>
    </row>
    <row r="14" spans="1:6" s="496" customFormat="1" ht="33" customHeight="1" thickBot="1" x14ac:dyDescent="0.25">
      <c r="A14" s="317" t="s">
        <v>63</v>
      </c>
      <c r="B14" s="318"/>
      <c r="C14" s="319"/>
      <c r="D14" s="413" t="s">
        <v>56</v>
      </c>
    </row>
    <row r="15" spans="1:6" ht="16.5" thickBot="1" x14ac:dyDescent="0.3">
      <c r="A15" s="450" t="s">
        <v>60</v>
      </c>
      <c r="B15" s="451"/>
      <c r="C15" s="452"/>
      <c r="D15" s="756">
        <f>15000000-580000+1410503+2373731-7043400-3015664+1903020-5520064+42419195-2253677-6432757-11677120-1761209-23319276+4000000</f>
        <v>5503282</v>
      </c>
      <c r="E15" s="497"/>
      <c r="F15" s="498"/>
    </row>
    <row r="16" spans="1:6" ht="15.75" x14ac:dyDescent="0.25">
      <c r="A16" s="445" t="s">
        <v>371</v>
      </c>
      <c r="B16" s="453"/>
      <c r="C16" s="454"/>
      <c r="D16" s="455"/>
      <c r="E16" s="498"/>
      <c r="F16" s="498"/>
    </row>
    <row r="17" spans="1:6" x14ac:dyDescent="0.2">
      <c r="A17" s="681" t="s">
        <v>646</v>
      </c>
      <c r="B17" s="416"/>
      <c r="C17" s="446"/>
      <c r="D17" s="414">
        <f>10000000-3200000-100000-6500000-200000</f>
        <v>0</v>
      </c>
      <c r="E17" s="417"/>
      <c r="F17" s="415"/>
    </row>
    <row r="18" spans="1:6" x14ac:dyDescent="0.2">
      <c r="A18" s="681" t="s">
        <v>647</v>
      </c>
      <c r="B18" s="416"/>
      <c r="C18" s="446"/>
      <c r="D18" s="414">
        <v>300000</v>
      </c>
      <c r="E18" s="417"/>
      <c r="F18" s="415"/>
    </row>
    <row r="19" spans="1:6" x14ac:dyDescent="0.2">
      <c r="A19" s="681" t="s">
        <v>648</v>
      </c>
      <c r="B19" s="416"/>
      <c r="C19" s="446"/>
      <c r="D19" s="414">
        <v>950000</v>
      </c>
      <c r="E19" s="417"/>
      <c r="F19" s="415"/>
    </row>
    <row r="20" spans="1:6" x14ac:dyDescent="0.2">
      <c r="A20" s="681" t="s">
        <v>649</v>
      </c>
      <c r="B20" s="416"/>
      <c r="C20" s="446"/>
      <c r="D20" s="414">
        <f>400000-400000</f>
        <v>0</v>
      </c>
      <c r="E20" s="417"/>
      <c r="F20" s="415"/>
    </row>
    <row r="21" spans="1:6" x14ac:dyDescent="0.2">
      <c r="A21" s="418" t="s">
        <v>395</v>
      </c>
      <c r="B21" s="416"/>
      <c r="C21" s="446"/>
      <c r="D21" s="414">
        <f>40097263-101823-1000000-170000</f>
        <v>38825440</v>
      </c>
      <c r="E21" s="417"/>
      <c r="F21" s="415"/>
    </row>
    <row r="22" spans="1:6" x14ac:dyDescent="0.2">
      <c r="A22" s="683" t="s">
        <v>807</v>
      </c>
      <c r="B22" s="435"/>
      <c r="C22" s="446"/>
      <c r="D22" s="1075">
        <f>500000-250000-250000</f>
        <v>0</v>
      </c>
      <c r="E22" s="417"/>
      <c r="F22" s="415"/>
    </row>
    <row r="23" spans="1:6" x14ac:dyDescent="0.2">
      <c r="A23" s="434" t="s">
        <v>577</v>
      </c>
      <c r="B23" s="435"/>
      <c r="C23" s="446"/>
      <c r="D23" s="414">
        <v>3500000</v>
      </c>
      <c r="E23" s="417"/>
      <c r="F23" s="415"/>
    </row>
    <row r="24" spans="1:6" x14ac:dyDescent="0.2">
      <c r="A24" s="764" t="s">
        <v>808</v>
      </c>
      <c r="B24" s="489"/>
      <c r="C24" s="490"/>
      <c r="D24" s="491">
        <v>6350000</v>
      </c>
      <c r="E24" s="417"/>
      <c r="F24" s="415"/>
    </row>
    <row r="25" spans="1:6" x14ac:dyDescent="0.2">
      <c r="A25" s="1218" t="s">
        <v>826</v>
      </c>
      <c r="B25" s="1219"/>
      <c r="C25" s="1220"/>
      <c r="D25" s="1021">
        <v>6985000</v>
      </c>
      <c r="E25" s="417"/>
      <c r="F25" s="415"/>
    </row>
    <row r="26" spans="1:6" x14ac:dyDescent="0.2">
      <c r="A26" s="682" t="s">
        <v>651</v>
      </c>
      <c r="B26" s="489"/>
      <c r="C26" s="490"/>
      <c r="D26" s="1136">
        <f>4000000-4000000</f>
        <v>0</v>
      </c>
      <c r="E26" s="417"/>
      <c r="F26" s="415"/>
    </row>
    <row r="27" spans="1:6" x14ac:dyDescent="0.2">
      <c r="A27" s="764" t="s">
        <v>780</v>
      </c>
      <c r="B27" s="757"/>
      <c r="C27" s="758"/>
      <c r="D27" s="491">
        <v>567020</v>
      </c>
      <c r="E27" s="417"/>
      <c r="F27" s="415"/>
    </row>
    <row r="28" spans="1:6" x14ac:dyDescent="0.2">
      <c r="A28" s="682" t="s">
        <v>650</v>
      </c>
      <c r="B28" s="489"/>
      <c r="C28" s="490"/>
      <c r="D28" s="491"/>
      <c r="E28" s="417"/>
      <c r="F28" s="415"/>
    </row>
    <row r="29" spans="1:6" x14ac:dyDescent="0.2">
      <c r="A29" s="764" t="s">
        <v>785</v>
      </c>
      <c r="B29" s="489"/>
      <c r="C29" s="490"/>
      <c r="D29" s="491"/>
      <c r="E29" s="417"/>
      <c r="F29" s="415"/>
    </row>
    <row r="30" spans="1:6" ht="16.5" thickBot="1" x14ac:dyDescent="0.3">
      <c r="A30" s="447" t="s">
        <v>372</v>
      </c>
      <c r="B30" s="448"/>
      <c r="C30" s="449"/>
      <c r="D30" s="1001">
        <f>SUM(D17:D29)</f>
        <v>57477460</v>
      </c>
    </row>
    <row r="31" spans="1:6" ht="16.5" thickBot="1" x14ac:dyDescent="0.3">
      <c r="A31" s="456"/>
      <c r="B31" s="457"/>
      <c r="C31" s="458"/>
      <c r="D31" s="458"/>
    </row>
    <row r="32" spans="1:6" ht="16.5" thickBot="1" x14ac:dyDescent="0.3">
      <c r="A32" s="450" t="s">
        <v>373</v>
      </c>
      <c r="B32" s="451"/>
      <c r="C32" s="452"/>
      <c r="D32" s="1094">
        <f>SUM(D15,D30)</f>
        <v>62980742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27. számú melléklet a 4/2020.(II.28.)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view="pageLayout" zoomScaleNormal="100" zoomScaleSheetLayoutView="85" workbookViewId="0">
      <selection activeCell="B5" sqref="B5"/>
    </sheetView>
  </sheetViews>
  <sheetFormatPr defaultRowHeight="15.75" x14ac:dyDescent="0.25"/>
  <cols>
    <col min="1" max="1" width="9" style="293" customWidth="1"/>
    <col min="2" max="2" width="75.83203125" style="293" customWidth="1"/>
    <col min="3" max="3" width="16.5" style="665" customWidth="1"/>
    <col min="4" max="4" width="15.5" style="665" customWidth="1"/>
    <col min="5" max="7" width="15.5" style="665" hidden="1" customWidth="1"/>
    <col min="8" max="8" width="15.5" style="665" customWidth="1"/>
    <col min="9" max="16384" width="9.33203125" style="279"/>
  </cols>
  <sheetData>
    <row r="1" spans="1:8" ht="35.25" customHeight="1" x14ac:dyDescent="0.25">
      <c r="A1" s="1221" t="s">
        <v>775</v>
      </c>
      <c r="B1" s="1222"/>
      <c r="C1" s="1222"/>
      <c r="D1" s="1222"/>
      <c r="E1" s="1222"/>
      <c r="F1" s="1222"/>
      <c r="G1" s="1222"/>
      <c r="H1" s="1222"/>
    </row>
    <row r="3" spans="1:8" ht="15.95" customHeight="1" x14ac:dyDescent="0.25">
      <c r="A3" s="1172" t="s">
        <v>16</v>
      </c>
      <c r="B3" s="1172"/>
      <c r="C3" s="1172"/>
      <c r="D3" s="1172"/>
      <c r="E3" s="1172"/>
      <c r="F3" s="1172"/>
      <c r="G3" s="1172"/>
      <c r="H3" s="1172"/>
    </row>
    <row r="4" spans="1:8" ht="15.95" customHeight="1" thickBot="1" x14ac:dyDescent="0.3">
      <c r="A4" s="1171" t="s">
        <v>124</v>
      </c>
      <c r="B4" s="1171"/>
      <c r="C4" s="578"/>
      <c r="D4" s="578"/>
      <c r="E4" s="579"/>
      <c r="F4" s="579"/>
      <c r="G4" s="579"/>
      <c r="H4" s="580" t="s">
        <v>561</v>
      </c>
    </row>
    <row r="5" spans="1:8" ht="38.1" customHeight="1" thickBot="1" x14ac:dyDescent="0.3">
      <c r="A5" s="21" t="s">
        <v>70</v>
      </c>
      <c r="B5" s="22" t="s">
        <v>18</v>
      </c>
      <c r="C5" s="581" t="s">
        <v>621</v>
      </c>
      <c r="D5" s="581" t="s">
        <v>622</v>
      </c>
      <c r="E5" s="582"/>
      <c r="F5" s="582"/>
      <c r="G5" s="582"/>
      <c r="H5" s="583" t="s">
        <v>603</v>
      </c>
    </row>
    <row r="6" spans="1:8" s="280" customFormat="1" ht="12" customHeight="1" thickBot="1" x14ac:dyDescent="0.25">
      <c r="A6" s="28" t="s">
        <v>443</v>
      </c>
      <c r="B6" s="29" t="s">
        <v>444</v>
      </c>
      <c r="C6" s="584" t="s">
        <v>445</v>
      </c>
      <c r="D6" s="584" t="s">
        <v>495</v>
      </c>
      <c r="E6" s="585"/>
      <c r="F6" s="585"/>
      <c r="G6" s="585"/>
      <c r="H6" s="586" t="s">
        <v>496</v>
      </c>
    </row>
    <row r="7" spans="1:8" s="282" customFormat="1" ht="12" customHeight="1" thickBot="1" x14ac:dyDescent="0.25">
      <c r="A7" s="18" t="s">
        <v>19</v>
      </c>
      <c r="B7" s="19" t="s">
        <v>184</v>
      </c>
      <c r="C7" s="584">
        <v>1136384587</v>
      </c>
      <c r="D7" s="587">
        <v>1282714675</v>
      </c>
      <c r="E7" s="588">
        <f>+E8+E9+E10+E11+E12+E13</f>
        <v>1133144785</v>
      </c>
      <c r="F7" s="587">
        <f>+F8+F9+F10+F11+F12+F13</f>
        <v>0</v>
      </c>
      <c r="G7" s="587">
        <f>+G8+G9+G10+G11+G12+G13</f>
        <v>0</v>
      </c>
      <c r="H7" s="122">
        <f>'1.1.sz.mell. '!C5</f>
        <v>1324135065</v>
      </c>
    </row>
    <row r="8" spans="1:8" s="282" customFormat="1" ht="12" customHeight="1" x14ac:dyDescent="0.2">
      <c r="A8" s="13" t="s">
        <v>95</v>
      </c>
      <c r="B8" s="296" t="s">
        <v>185</v>
      </c>
      <c r="C8" s="589">
        <v>228418282</v>
      </c>
      <c r="D8" s="590">
        <v>227855923</v>
      </c>
      <c r="E8" s="591">
        <v>227512539</v>
      </c>
      <c r="F8" s="592"/>
      <c r="G8" s="592"/>
      <c r="H8" s="479">
        <f>'1.1.sz.mell. '!C6</f>
        <v>218098142</v>
      </c>
    </row>
    <row r="9" spans="1:8" s="282" customFormat="1" ht="12" customHeight="1" x14ac:dyDescent="0.2">
      <c r="A9" s="12" t="s">
        <v>96</v>
      </c>
      <c r="B9" s="297" t="s">
        <v>186</v>
      </c>
      <c r="C9" s="593">
        <v>224090111</v>
      </c>
      <c r="D9" s="594">
        <v>227738235</v>
      </c>
      <c r="E9" s="595">
        <v>218107294</v>
      </c>
      <c r="F9" s="596"/>
      <c r="G9" s="596"/>
      <c r="H9" s="305">
        <f>'1.1.sz.mell. '!C7</f>
        <v>238466411</v>
      </c>
    </row>
    <row r="10" spans="1:8" s="282" customFormat="1" ht="12" customHeight="1" x14ac:dyDescent="0.2">
      <c r="A10" s="12" t="s">
        <v>97</v>
      </c>
      <c r="B10" s="297" t="s">
        <v>187</v>
      </c>
      <c r="C10" s="593">
        <v>600182523</v>
      </c>
      <c r="D10" s="594">
        <v>662987096</v>
      </c>
      <c r="E10" s="595">
        <f>121200000+67844165+118423160+15562200+177597260+4526280+11511000+24250000+62625967</f>
        <v>603540032</v>
      </c>
      <c r="F10" s="596"/>
      <c r="G10" s="596"/>
      <c r="H10" s="305">
        <f>'1.1.sz.mell. '!C8</f>
        <v>784493453</v>
      </c>
    </row>
    <row r="11" spans="1:8" s="282" customFormat="1" ht="12" customHeight="1" x14ac:dyDescent="0.2">
      <c r="A11" s="12" t="s">
        <v>98</v>
      </c>
      <c r="B11" s="297" t="s">
        <v>188</v>
      </c>
      <c r="C11" s="593">
        <v>31318596</v>
      </c>
      <c r="D11" s="594">
        <v>34993847</v>
      </c>
      <c r="E11" s="595">
        <f>4412740+15262320+10629000</f>
        <v>30304060</v>
      </c>
      <c r="F11" s="596"/>
      <c r="G11" s="596"/>
      <c r="H11" s="305">
        <f>'1.1.sz.mell. '!C9</f>
        <v>34753573</v>
      </c>
    </row>
    <row r="12" spans="1:8" s="282" customFormat="1" ht="12" customHeight="1" x14ac:dyDescent="0.2">
      <c r="A12" s="12" t="s">
        <v>121</v>
      </c>
      <c r="B12" s="460" t="s">
        <v>446</v>
      </c>
      <c r="C12" s="593">
        <v>52375075</v>
      </c>
      <c r="D12" s="594">
        <v>129139574</v>
      </c>
      <c r="E12" s="595">
        <f>3551000+1060845+168707597+58000+128000-119824582</f>
        <v>53680860</v>
      </c>
      <c r="F12" s="596"/>
      <c r="G12" s="596"/>
      <c r="H12" s="305">
        <f>'1.1.sz.mell. '!C10</f>
        <v>48323486</v>
      </c>
    </row>
    <row r="13" spans="1:8" s="282" customFormat="1" ht="12" customHeight="1" thickBot="1" x14ac:dyDescent="0.25">
      <c r="A13" s="14" t="s">
        <v>99</v>
      </c>
      <c r="B13" s="461" t="s">
        <v>447</v>
      </c>
      <c r="C13" s="597"/>
      <c r="D13" s="598">
        <v>0</v>
      </c>
      <c r="E13" s="599"/>
      <c r="F13" s="600"/>
      <c r="G13" s="600"/>
      <c r="H13" s="480">
        <f>'1.1.sz.mell. '!C11</f>
        <v>0</v>
      </c>
    </row>
    <row r="14" spans="1:8" s="282" customFormat="1" ht="12" customHeight="1" thickBot="1" x14ac:dyDescent="0.25">
      <c r="A14" s="18" t="s">
        <v>20</v>
      </c>
      <c r="B14" s="462" t="s">
        <v>189</v>
      </c>
      <c r="C14" s="601">
        <v>329344570</v>
      </c>
      <c r="D14" s="587">
        <v>270067430</v>
      </c>
      <c r="E14" s="588">
        <f>+E15+E16+E17+E18+E19</f>
        <v>-145452435</v>
      </c>
      <c r="F14" s="587">
        <f>+F15+F16+F17+F18+F19</f>
        <v>0</v>
      </c>
      <c r="G14" s="587">
        <f>+G15+G16+G17+G18+G19</f>
        <v>5485000</v>
      </c>
      <c r="H14" s="122">
        <f>'1.1.sz.mell. '!C12</f>
        <v>372963545</v>
      </c>
    </row>
    <row r="15" spans="1:8" s="282" customFormat="1" ht="12" customHeight="1" x14ac:dyDescent="0.2">
      <c r="A15" s="13" t="s">
        <v>101</v>
      </c>
      <c r="B15" s="296" t="s">
        <v>190</v>
      </c>
      <c r="C15" s="593"/>
      <c r="D15" s="590">
        <v>0</v>
      </c>
      <c r="E15" s="602"/>
      <c r="F15" s="603"/>
      <c r="G15" s="603"/>
      <c r="H15" s="479">
        <f>'1.1.sz.mell. '!C13</f>
        <v>0</v>
      </c>
    </row>
    <row r="16" spans="1:8" s="282" customFormat="1" ht="12" customHeight="1" x14ac:dyDescent="0.2">
      <c r="A16" s="12" t="s">
        <v>102</v>
      </c>
      <c r="B16" s="297" t="s">
        <v>191</v>
      </c>
      <c r="C16" s="593"/>
      <c r="D16" s="594">
        <v>0</v>
      </c>
      <c r="E16" s="599"/>
      <c r="F16" s="600"/>
      <c r="G16" s="600"/>
      <c r="H16" s="305">
        <f>'1.1.sz.mell. '!C14</f>
        <v>0</v>
      </c>
    </row>
    <row r="17" spans="1:9" s="282" customFormat="1" ht="12" customHeight="1" x14ac:dyDescent="0.2">
      <c r="A17" s="12" t="s">
        <v>103</v>
      </c>
      <c r="B17" s="297" t="s">
        <v>359</v>
      </c>
      <c r="C17" s="593"/>
      <c r="D17" s="594">
        <v>0</v>
      </c>
      <c r="E17" s="599"/>
      <c r="F17" s="600"/>
      <c r="G17" s="600"/>
      <c r="H17" s="305">
        <f>'1.1.sz.mell. '!C15</f>
        <v>0</v>
      </c>
    </row>
    <row r="18" spans="1:9" s="282" customFormat="1" ht="12" customHeight="1" x14ac:dyDescent="0.2">
      <c r="A18" s="12" t="s">
        <v>104</v>
      </c>
      <c r="B18" s="297" t="s">
        <v>360</v>
      </c>
      <c r="C18" s="593"/>
      <c r="D18" s="594">
        <v>0</v>
      </c>
      <c r="E18" s="599"/>
      <c r="F18" s="600"/>
      <c r="G18" s="600"/>
      <c r="H18" s="305">
        <f>'1.1.sz.mell. '!C16</f>
        <v>0</v>
      </c>
    </row>
    <row r="19" spans="1:9" s="282" customFormat="1" ht="12" customHeight="1" x14ac:dyDescent="0.2">
      <c r="A19" s="12" t="s">
        <v>105</v>
      </c>
      <c r="B19" s="297" t="s">
        <v>192</v>
      </c>
      <c r="C19" s="593">
        <v>329344570</v>
      </c>
      <c r="D19" s="594">
        <v>270067430</v>
      </c>
      <c r="E19" s="595">
        <f>2285000+210000+110446000+65342000-323735435</f>
        <v>-145452435</v>
      </c>
      <c r="F19" s="596"/>
      <c r="G19" s="596">
        <v>5485000</v>
      </c>
      <c r="H19" s="305">
        <f>'1.1.sz.mell. '!C17</f>
        <v>372963545</v>
      </c>
    </row>
    <row r="20" spans="1:9" s="282" customFormat="1" ht="12" customHeight="1" thickBot="1" x14ac:dyDescent="0.25">
      <c r="A20" s="14" t="s">
        <v>114</v>
      </c>
      <c r="B20" s="461" t="s">
        <v>193</v>
      </c>
      <c r="C20" s="597">
        <v>23612212</v>
      </c>
      <c r="D20" s="598">
        <v>85930791</v>
      </c>
      <c r="E20" s="604"/>
      <c r="F20" s="605"/>
      <c r="G20" s="605"/>
      <c r="H20" s="480">
        <f>'1.1.sz.mell. '!C18</f>
        <v>227173142</v>
      </c>
      <c r="I20" s="772"/>
    </row>
    <row r="21" spans="1:9" s="282" customFormat="1" ht="12" customHeight="1" thickBot="1" x14ac:dyDescent="0.25">
      <c r="A21" s="18" t="s">
        <v>21</v>
      </c>
      <c r="B21" s="459" t="s">
        <v>194</v>
      </c>
      <c r="C21" s="601">
        <v>519310318</v>
      </c>
      <c r="D21" s="587">
        <v>93190591</v>
      </c>
      <c r="E21" s="588">
        <f>+E22+E23+E24+E25+E26</f>
        <v>-11381976</v>
      </c>
      <c r="F21" s="587">
        <f>+F22+F23+F24+F25+F26</f>
        <v>0</v>
      </c>
      <c r="G21" s="587">
        <f>+G22+G23+G24+G25+G26</f>
        <v>0</v>
      </c>
      <c r="H21" s="122">
        <f>'1.1.sz.mell. '!C19</f>
        <v>1078270150</v>
      </c>
    </row>
    <row r="22" spans="1:9" s="282" customFormat="1" ht="12" customHeight="1" x14ac:dyDescent="0.2">
      <c r="A22" s="13" t="s">
        <v>84</v>
      </c>
      <c r="B22" s="296" t="s">
        <v>195</v>
      </c>
      <c r="C22" s="593">
        <v>15690532</v>
      </c>
      <c r="D22" s="590">
        <v>19753000</v>
      </c>
      <c r="E22" s="606"/>
      <c r="F22" s="607"/>
      <c r="G22" s="607"/>
      <c r="H22" s="479">
        <f>'1.1.sz.mell. '!C20</f>
        <v>370138900</v>
      </c>
    </row>
    <row r="23" spans="1:9" s="282" customFormat="1" ht="12" customHeight="1" x14ac:dyDescent="0.2">
      <c r="A23" s="12" t="s">
        <v>85</v>
      </c>
      <c r="B23" s="297" t="s">
        <v>196</v>
      </c>
      <c r="C23" s="593"/>
      <c r="D23" s="608">
        <v>0</v>
      </c>
      <c r="E23" s="595"/>
      <c r="F23" s="596"/>
      <c r="G23" s="596"/>
      <c r="H23" s="482">
        <f>'1.1.sz.mell. '!C21</f>
        <v>0</v>
      </c>
    </row>
    <row r="24" spans="1:9" s="282" customFormat="1" ht="12" customHeight="1" x14ac:dyDescent="0.2">
      <c r="A24" s="12" t="s">
        <v>86</v>
      </c>
      <c r="B24" s="297" t="s">
        <v>361</v>
      </c>
      <c r="C24" s="593"/>
      <c r="D24" s="594">
        <v>0</v>
      </c>
      <c r="E24" s="595"/>
      <c r="F24" s="596"/>
      <c r="G24" s="596"/>
      <c r="H24" s="305">
        <f>'1.1.sz.mell. '!C22</f>
        <v>0</v>
      </c>
    </row>
    <row r="25" spans="1:9" s="282" customFormat="1" ht="12" customHeight="1" x14ac:dyDescent="0.2">
      <c r="A25" s="12" t="s">
        <v>87</v>
      </c>
      <c r="B25" s="297" t="s">
        <v>362</v>
      </c>
      <c r="C25" s="593"/>
      <c r="D25" s="594">
        <v>0</v>
      </c>
      <c r="E25" s="595"/>
      <c r="F25" s="596"/>
      <c r="G25" s="596"/>
      <c r="H25" s="305">
        <f>'1.1.sz.mell. '!C23</f>
        <v>0</v>
      </c>
    </row>
    <row r="26" spans="1:9" s="282" customFormat="1" ht="12" customHeight="1" x14ac:dyDescent="0.2">
      <c r="A26" s="12" t="s">
        <v>132</v>
      </c>
      <c r="B26" s="297" t="s">
        <v>197</v>
      </c>
      <c r="C26" s="593">
        <v>503619786</v>
      </c>
      <c r="D26" s="594">
        <v>73437591</v>
      </c>
      <c r="E26" s="595">
        <f>3797300-15179276</f>
        <v>-11381976</v>
      </c>
      <c r="F26" s="596"/>
      <c r="G26" s="596"/>
      <c r="H26" s="305">
        <f>'1.1.sz.mell. '!C24</f>
        <v>708131250</v>
      </c>
    </row>
    <row r="27" spans="1:9" s="282" customFormat="1" ht="12" customHeight="1" thickBot="1" x14ac:dyDescent="0.25">
      <c r="A27" s="14" t="s">
        <v>133</v>
      </c>
      <c r="B27" s="298" t="s">
        <v>198</v>
      </c>
      <c r="C27" s="597">
        <v>500338786</v>
      </c>
      <c r="D27" s="598">
        <v>68947847</v>
      </c>
      <c r="E27" s="604">
        <v>3797300</v>
      </c>
      <c r="F27" s="605"/>
      <c r="G27" s="605"/>
      <c r="H27" s="480">
        <f>'1.1.sz.mell. '!C25</f>
        <v>694206350</v>
      </c>
    </row>
    <row r="28" spans="1:9" s="282" customFormat="1" ht="12" customHeight="1" thickBot="1" x14ac:dyDescent="0.25">
      <c r="A28" s="18" t="s">
        <v>134</v>
      </c>
      <c r="B28" s="459" t="s">
        <v>199</v>
      </c>
      <c r="C28" s="601">
        <v>359172384</v>
      </c>
      <c r="D28" s="587">
        <v>462658000</v>
      </c>
      <c r="E28" s="609">
        <f>+E29+E33+E34+E35</f>
        <v>329390000</v>
      </c>
      <c r="F28" s="610">
        <f>+F29+F33+F34+F35</f>
        <v>0</v>
      </c>
      <c r="G28" s="610">
        <f>+G29+G33+G34+G35</f>
        <v>0</v>
      </c>
      <c r="H28" s="122">
        <f>'1.1.sz.mell. '!C26</f>
        <v>482500000</v>
      </c>
    </row>
    <row r="29" spans="1:9" s="282" customFormat="1" ht="12" customHeight="1" x14ac:dyDescent="0.2">
      <c r="A29" s="13" t="s">
        <v>200</v>
      </c>
      <c r="B29" s="296" t="s">
        <v>602</v>
      </c>
      <c r="C29" s="593">
        <v>324804247</v>
      </c>
      <c r="D29" s="590">
        <v>415654000</v>
      </c>
      <c r="E29" s="611">
        <f>SUM(E30:E32)</f>
        <v>292830000</v>
      </c>
      <c r="F29" s="612"/>
      <c r="G29" s="612"/>
      <c r="H29" s="479">
        <f>'1.1.sz.mell. '!C27</f>
        <v>430000000</v>
      </c>
    </row>
    <row r="30" spans="1:9" s="282" customFormat="1" ht="12" customHeight="1" x14ac:dyDescent="0.2">
      <c r="A30" s="12" t="s">
        <v>201</v>
      </c>
      <c r="B30" s="297" t="s">
        <v>206</v>
      </c>
      <c r="C30" s="593">
        <v>71369224</v>
      </c>
      <c r="D30" s="594">
        <v>82500000</v>
      </c>
      <c r="E30" s="599">
        <f>8990000+70000000</f>
        <v>78990000</v>
      </c>
      <c r="F30" s="600"/>
      <c r="G30" s="600"/>
      <c r="H30" s="305">
        <f>'1.1.sz.mell. '!C28</f>
        <v>89000000</v>
      </c>
    </row>
    <row r="31" spans="1:9" s="282" customFormat="1" ht="12" customHeight="1" x14ac:dyDescent="0.2">
      <c r="A31" s="12" t="s">
        <v>202</v>
      </c>
      <c r="B31" s="666" t="s">
        <v>601</v>
      </c>
      <c r="C31" s="593">
        <v>253435023</v>
      </c>
      <c r="D31" s="594">
        <v>333154000</v>
      </c>
      <c r="E31" s="599">
        <f>203840000+10000000</f>
        <v>213840000</v>
      </c>
      <c r="F31" s="600"/>
      <c r="G31" s="600"/>
      <c r="H31" s="304">
        <f>'1.1.sz.mell. '!C29</f>
        <v>341000000</v>
      </c>
    </row>
    <row r="32" spans="1:9" s="282" customFormat="1" ht="12" customHeight="1" x14ac:dyDescent="0.2">
      <c r="A32" s="12" t="s">
        <v>203</v>
      </c>
      <c r="B32" s="297" t="s">
        <v>534</v>
      </c>
      <c r="C32" s="593">
        <v>119318</v>
      </c>
      <c r="D32" s="594">
        <v>0</v>
      </c>
      <c r="E32" s="595"/>
      <c r="F32" s="596"/>
      <c r="G32" s="596"/>
      <c r="H32" s="304">
        <f>'1.1.sz.mell. '!C30</f>
        <v>0</v>
      </c>
    </row>
    <row r="33" spans="1:8" s="282" customFormat="1" ht="12" customHeight="1" x14ac:dyDescent="0.2">
      <c r="A33" s="12" t="s">
        <v>535</v>
      </c>
      <c r="B33" s="297" t="s">
        <v>207</v>
      </c>
      <c r="C33" s="593">
        <v>26806717</v>
      </c>
      <c r="D33" s="594">
        <v>31000000</v>
      </c>
      <c r="E33" s="599">
        <f>27000000</f>
        <v>27000000</v>
      </c>
      <c r="F33" s="600"/>
      <c r="G33" s="600"/>
      <c r="H33" s="304">
        <f>'1.1.sz.mell. '!C31</f>
        <v>35000000</v>
      </c>
    </row>
    <row r="34" spans="1:8" s="282" customFormat="1" ht="12" customHeight="1" x14ac:dyDescent="0.2">
      <c r="A34" s="12" t="s">
        <v>205</v>
      </c>
      <c r="B34" s="297" t="s">
        <v>208</v>
      </c>
      <c r="C34" s="593">
        <v>12050</v>
      </c>
      <c r="D34" s="594">
        <v>4000</v>
      </c>
      <c r="E34" s="599">
        <v>4060000</v>
      </c>
      <c r="F34" s="600"/>
      <c r="G34" s="600"/>
      <c r="H34" s="304">
        <f>'1.1.sz.mell. '!C32</f>
        <v>1000000</v>
      </c>
    </row>
    <row r="35" spans="1:8" s="282" customFormat="1" ht="12" customHeight="1" thickBot="1" x14ac:dyDescent="0.25">
      <c r="A35" s="14" t="s">
        <v>536</v>
      </c>
      <c r="B35" s="298" t="s">
        <v>209</v>
      </c>
      <c r="C35" s="597">
        <v>7430052</v>
      </c>
      <c r="D35" s="598">
        <v>16000000</v>
      </c>
      <c r="E35" s="604">
        <v>5500000</v>
      </c>
      <c r="F35" s="605"/>
      <c r="G35" s="605"/>
      <c r="H35" s="480">
        <f>'1.1.sz.mell. '!C33</f>
        <v>16500000</v>
      </c>
    </row>
    <row r="36" spans="1:8" s="282" customFormat="1" ht="12" customHeight="1" thickBot="1" x14ac:dyDescent="0.25">
      <c r="A36" s="18" t="s">
        <v>23</v>
      </c>
      <c r="B36" s="459" t="s">
        <v>448</v>
      </c>
      <c r="C36" s="601">
        <v>420500148</v>
      </c>
      <c r="D36" s="587">
        <v>416970437</v>
      </c>
      <c r="E36" s="588">
        <f>SUM(E37:E47)</f>
        <v>54395907</v>
      </c>
      <c r="F36" s="587">
        <f>SUM(F37:F47)</f>
        <v>9416500</v>
      </c>
      <c r="G36" s="587">
        <f>SUM(G37:G47)</f>
        <v>385266178</v>
      </c>
      <c r="H36" s="122">
        <f>'1.1.sz.mell. '!C34</f>
        <v>360439284</v>
      </c>
    </row>
    <row r="37" spans="1:8" s="282" customFormat="1" ht="12" customHeight="1" x14ac:dyDescent="0.2">
      <c r="A37" s="13" t="s">
        <v>88</v>
      </c>
      <c r="B37" s="296" t="s">
        <v>212</v>
      </c>
      <c r="C37" s="593">
        <v>14756313</v>
      </c>
      <c r="D37" s="590">
        <v>13289065</v>
      </c>
      <c r="E37" s="591">
        <f>3937000+4000000+5000000-2941522</f>
        <v>9995478</v>
      </c>
      <c r="F37" s="592"/>
      <c r="G37" s="592">
        <v>150000</v>
      </c>
      <c r="H37" s="479">
        <f>'1.1.sz.mell. '!C35</f>
        <v>17923606</v>
      </c>
    </row>
    <row r="38" spans="1:8" s="282" customFormat="1" ht="12" customHeight="1" x14ac:dyDescent="0.2">
      <c r="A38" s="12" t="s">
        <v>89</v>
      </c>
      <c r="B38" s="297" t="s">
        <v>213</v>
      </c>
      <c r="C38" s="593">
        <v>97064914</v>
      </c>
      <c r="D38" s="594">
        <v>77043172</v>
      </c>
      <c r="E38" s="595">
        <f>100000+12004000+160000+7128864</f>
        <v>19392864</v>
      </c>
      <c r="F38" s="596">
        <v>7533500</v>
      </c>
      <c r="G38" s="592">
        <v>68193838</v>
      </c>
      <c r="H38" s="305">
        <f>'1.1.sz.mell. '!C36</f>
        <v>80676792</v>
      </c>
    </row>
    <row r="39" spans="1:8" s="282" customFormat="1" ht="12" customHeight="1" x14ac:dyDescent="0.2">
      <c r="A39" s="12" t="s">
        <v>90</v>
      </c>
      <c r="B39" s="297" t="s">
        <v>214</v>
      </c>
      <c r="C39" s="593">
        <v>72323829</v>
      </c>
      <c r="D39" s="594">
        <v>80011504</v>
      </c>
      <c r="E39" s="595">
        <f>8458000+947000</f>
        <v>9405000</v>
      </c>
      <c r="F39" s="596">
        <v>500000</v>
      </c>
      <c r="G39" s="592">
        <v>85718340</v>
      </c>
      <c r="H39" s="305">
        <f>'1.1.sz.mell. '!C37</f>
        <v>23955683</v>
      </c>
    </row>
    <row r="40" spans="1:8" s="282" customFormat="1" ht="12" customHeight="1" x14ac:dyDescent="0.2">
      <c r="A40" s="12" t="s">
        <v>136</v>
      </c>
      <c r="B40" s="297" t="s">
        <v>215</v>
      </c>
      <c r="C40" s="593">
        <v>875976</v>
      </c>
      <c r="D40" s="594">
        <v>430000</v>
      </c>
      <c r="E40" s="595">
        <f>430000</f>
        <v>430000</v>
      </c>
      <c r="F40" s="596"/>
      <c r="G40" s="592"/>
      <c r="H40" s="305">
        <f>'1.1.sz.mell. '!C38</f>
        <v>740000</v>
      </c>
    </row>
    <row r="41" spans="1:8" s="282" customFormat="1" ht="12" customHeight="1" x14ac:dyDescent="0.2">
      <c r="A41" s="12" t="s">
        <v>137</v>
      </c>
      <c r="B41" s="297" t="s">
        <v>216</v>
      </c>
      <c r="C41" s="593">
        <v>170046831</v>
      </c>
      <c r="D41" s="594">
        <v>175085653</v>
      </c>
      <c r="E41" s="595"/>
      <c r="F41" s="596"/>
      <c r="G41" s="592">
        <f>182811402-4572000</f>
        <v>178239402</v>
      </c>
      <c r="H41" s="305">
        <f>'1.1.sz.mell. '!C39</f>
        <v>176547721</v>
      </c>
    </row>
    <row r="42" spans="1:8" s="282" customFormat="1" ht="12" customHeight="1" x14ac:dyDescent="0.2">
      <c r="A42" s="12" t="s">
        <v>138</v>
      </c>
      <c r="B42" s="297" t="s">
        <v>217</v>
      </c>
      <c r="C42" s="593">
        <v>42697431</v>
      </c>
      <c r="D42" s="594">
        <v>41947455</v>
      </c>
      <c r="E42" s="595">
        <f>1063000+3242000+5853000+44000+378000+600000+1350000+1408565</f>
        <v>13938565</v>
      </c>
      <c r="F42" s="596">
        <v>1283000</v>
      </c>
      <c r="G42" s="592">
        <v>31920598</v>
      </c>
      <c r="H42" s="305">
        <f>'1.1.sz.mell. '!C40</f>
        <v>30391342</v>
      </c>
    </row>
    <row r="43" spans="1:8" s="282" customFormat="1" ht="12" customHeight="1" x14ac:dyDescent="0.2">
      <c r="A43" s="12" t="s">
        <v>139</v>
      </c>
      <c r="B43" s="297" t="s">
        <v>218</v>
      </c>
      <c r="C43" s="593">
        <v>17615000</v>
      </c>
      <c r="D43" s="594">
        <v>18210000</v>
      </c>
      <c r="E43" s="595"/>
      <c r="F43" s="596"/>
      <c r="G43" s="592">
        <v>21034000</v>
      </c>
      <c r="H43" s="305">
        <f>'1.1.sz.mell. '!C41</f>
        <v>8433000</v>
      </c>
    </row>
    <row r="44" spans="1:8" s="282" customFormat="1" ht="12" customHeight="1" x14ac:dyDescent="0.2">
      <c r="A44" s="12" t="s">
        <v>140</v>
      </c>
      <c r="B44" s="297" t="s">
        <v>549</v>
      </c>
      <c r="C44" s="593">
        <v>147121</v>
      </c>
      <c r="D44" s="594">
        <v>31000</v>
      </c>
      <c r="E44" s="595">
        <v>30000</v>
      </c>
      <c r="F44" s="596"/>
      <c r="G44" s="592">
        <v>10000</v>
      </c>
      <c r="H44" s="305">
        <f>'1.1.sz.mell. '!C42</f>
        <v>0</v>
      </c>
    </row>
    <row r="45" spans="1:8" s="282" customFormat="1" ht="12" customHeight="1" x14ac:dyDescent="0.2">
      <c r="A45" s="12" t="s">
        <v>210</v>
      </c>
      <c r="B45" s="297" t="s">
        <v>220</v>
      </c>
      <c r="C45" s="593">
        <v>22033</v>
      </c>
      <c r="D45" s="594">
        <v>0</v>
      </c>
      <c r="E45" s="595"/>
      <c r="F45" s="596"/>
      <c r="G45" s="592"/>
      <c r="H45" s="305">
        <f>'1.1.sz.mell. '!C43</f>
        <v>0</v>
      </c>
    </row>
    <row r="46" spans="1:8" s="282" customFormat="1" ht="12" customHeight="1" x14ac:dyDescent="0.2">
      <c r="A46" s="14" t="s">
        <v>211</v>
      </c>
      <c r="B46" s="298" t="s">
        <v>449</v>
      </c>
      <c r="C46" s="593">
        <v>722335</v>
      </c>
      <c r="D46" s="594">
        <v>500000</v>
      </c>
      <c r="E46" s="604">
        <f>500000</f>
        <v>500000</v>
      </c>
      <c r="F46" s="605"/>
      <c r="G46" s="592"/>
      <c r="H46" s="305">
        <f>'1.1.sz.mell. '!C44</f>
        <v>500000</v>
      </c>
    </row>
    <row r="47" spans="1:8" s="282" customFormat="1" ht="12" customHeight="1" thickBot="1" x14ac:dyDescent="0.25">
      <c r="A47" s="14" t="s">
        <v>450</v>
      </c>
      <c r="B47" s="461" t="s">
        <v>221</v>
      </c>
      <c r="C47" s="597">
        <v>4228365</v>
      </c>
      <c r="D47" s="598">
        <v>10422588</v>
      </c>
      <c r="E47" s="604">
        <f>704000</f>
        <v>704000</v>
      </c>
      <c r="F47" s="605">
        <v>100000</v>
      </c>
      <c r="G47" s="592"/>
      <c r="H47" s="480">
        <f>'1.1.sz.mell. '!C45</f>
        <v>21271140</v>
      </c>
    </row>
    <row r="48" spans="1:8" s="282" customFormat="1" ht="12" customHeight="1" thickBot="1" x14ac:dyDescent="0.25">
      <c r="A48" s="18" t="s">
        <v>24</v>
      </c>
      <c r="B48" s="459" t="s">
        <v>222</v>
      </c>
      <c r="C48" s="601">
        <v>31376724</v>
      </c>
      <c r="D48" s="587">
        <v>30332500</v>
      </c>
      <c r="E48" s="588">
        <f>SUM(E49:E53)</f>
        <v>25179000</v>
      </c>
      <c r="F48" s="587">
        <f>SUM(F49:F53)</f>
        <v>0</v>
      </c>
      <c r="G48" s="587">
        <f>SUM(G49:G53)</f>
        <v>0</v>
      </c>
      <c r="H48" s="122">
        <f>'1.1.sz.mell. '!C46</f>
        <v>22232600</v>
      </c>
    </row>
    <row r="49" spans="1:8" s="282" customFormat="1" ht="12" customHeight="1" x14ac:dyDescent="0.2">
      <c r="A49" s="13" t="s">
        <v>91</v>
      </c>
      <c r="B49" s="296" t="s">
        <v>226</v>
      </c>
      <c r="C49" s="593"/>
      <c r="D49" s="613">
        <v>0</v>
      </c>
      <c r="E49" s="591"/>
      <c r="F49" s="592"/>
      <c r="G49" s="592"/>
      <c r="H49" s="481">
        <f>'1.1.sz.mell. '!C47</f>
        <v>0</v>
      </c>
    </row>
    <row r="50" spans="1:8" s="282" customFormat="1" ht="12" customHeight="1" x14ac:dyDescent="0.2">
      <c r="A50" s="12" t="s">
        <v>92</v>
      </c>
      <c r="B50" s="297" t="s">
        <v>227</v>
      </c>
      <c r="C50" s="593">
        <v>31018499</v>
      </c>
      <c r="D50" s="594">
        <v>30332500</v>
      </c>
      <c r="E50" s="595">
        <f>25179000</f>
        <v>25179000</v>
      </c>
      <c r="F50" s="596"/>
      <c r="G50" s="596"/>
      <c r="H50" s="305">
        <f>'1.1.sz.mell. '!C48</f>
        <v>21787500</v>
      </c>
    </row>
    <row r="51" spans="1:8" s="282" customFormat="1" ht="12" customHeight="1" x14ac:dyDescent="0.2">
      <c r="A51" s="12" t="s">
        <v>223</v>
      </c>
      <c r="B51" s="297" t="s">
        <v>228</v>
      </c>
      <c r="C51" s="593">
        <v>253700</v>
      </c>
      <c r="D51" s="594">
        <v>0</v>
      </c>
      <c r="E51" s="595"/>
      <c r="F51" s="596"/>
      <c r="G51" s="596"/>
      <c r="H51" s="305">
        <f>'1.1.sz.mell. '!C49</f>
        <v>300000</v>
      </c>
    </row>
    <row r="52" spans="1:8" s="282" customFormat="1" ht="12" customHeight="1" x14ac:dyDescent="0.2">
      <c r="A52" s="12" t="s">
        <v>224</v>
      </c>
      <c r="B52" s="297" t="s">
        <v>229</v>
      </c>
      <c r="C52" s="593">
        <v>100000</v>
      </c>
      <c r="D52" s="594">
        <v>0</v>
      </c>
      <c r="E52" s="595"/>
      <c r="F52" s="596"/>
      <c r="G52" s="596"/>
      <c r="H52" s="305">
        <f>'1.1.sz.mell. '!C50</f>
        <v>0</v>
      </c>
    </row>
    <row r="53" spans="1:8" s="282" customFormat="1" ht="12" customHeight="1" thickBot="1" x14ac:dyDescent="0.25">
      <c r="A53" s="14" t="s">
        <v>225</v>
      </c>
      <c r="B53" s="461" t="s">
        <v>230</v>
      </c>
      <c r="C53" s="597">
        <v>4525</v>
      </c>
      <c r="D53" s="614">
        <v>0</v>
      </c>
      <c r="E53" s="604"/>
      <c r="F53" s="605"/>
      <c r="G53" s="605"/>
      <c r="H53" s="483">
        <f>'1.1.sz.mell. '!C51</f>
        <v>145100</v>
      </c>
    </row>
    <row r="54" spans="1:8" s="282" customFormat="1" ht="12" customHeight="1" thickBot="1" x14ac:dyDescent="0.25">
      <c r="A54" s="18" t="s">
        <v>141</v>
      </c>
      <c r="B54" s="459" t="s">
        <v>231</v>
      </c>
      <c r="C54" s="601">
        <v>21824515</v>
      </c>
      <c r="D54" s="615">
        <v>5224000</v>
      </c>
      <c r="E54" s="588">
        <f>SUM(E55:E57)</f>
        <v>6164433</v>
      </c>
      <c r="F54" s="587">
        <f>SUM(F55:F57)</f>
        <v>0</v>
      </c>
      <c r="G54" s="587">
        <f>SUM(G55:G57)</f>
        <v>0</v>
      </c>
      <c r="H54" s="295">
        <f>'1.1.sz.mell. '!C52</f>
        <v>2792700</v>
      </c>
    </row>
    <row r="55" spans="1:8" s="282" customFormat="1" ht="12" customHeight="1" x14ac:dyDescent="0.2">
      <c r="A55" s="13" t="s">
        <v>93</v>
      </c>
      <c r="B55" s="296" t="s">
        <v>232</v>
      </c>
      <c r="C55" s="593"/>
      <c r="D55" s="616">
        <v>0</v>
      </c>
      <c r="E55" s="602"/>
      <c r="F55" s="603"/>
      <c r="G55" s="603"/>
      <c r="H55" s="484">
        <f>'1.1.sz.mell. '!C53</f>
        <v>0</v>
      </c>
    </row>
    <row r="56" spans="1:8" s="282" customFormat="1" ht="12" customHeight="1" x14ac:dyDescent="0.2">
      <c r="A56" s="12" t="s">
        <v>94</v>
      </c>
      <c r="B56" s="297" t="s">
        <v>363</v>
      </c>
      <c r="C56" s="593">
        <v>18383349</v>
      </c>
      <c r="D56" s="594">
        <v>1866000</v>
      </c>
      <c r="E56" s="595">
        <f>383000+1566000</f>
        <v>1949000</v>
      </c>
      <c r="F56" s="596"/>
      <c r="G56" s="596"/>
      <c r="H56" s="305">
        <f>'1.1.sz.mell. '!C54</f>
        <v>880000</v>
      </c>
    </row>
    <row r="57" spans="1:8" s="282" customFormat="1" ht="12" customHeight="1" x14ac:dyDescent="0.2">
      <c r="A57" s="12" t="s">
        <v>235</v>
      </c>
      <c r="B57" s="297" t="s">
        <v>233</v>
      </c>
      <c r="C57" s="593">
        <v>3441166</v>
      </c>
      <c r="D57" s="594">
        <v>3358000</v>
      </c>
      <c r="E57" s="595">
        <f>4075000+140433</f>
        <v>4215433</v>
      </c>
      <c r="F57" s="596"/>
      <c r="G57" s="596"/>
      <c r="H57" s="305">
        <f>'1.1.sz.mell. '!C55</f>
        <v>1912700</v>
      </c>
    </row>
    <row r="58" spans="1:8" s="282" customFormat="1" ht="12" customHeight="1" thickBot="1" x14ac:dyDescent="0.25">
      <c r="A58" s="14" t="s">
        <v>236</v>
      </c>
      <c r="B58" s="461" t="s">
        <v>234</v>
      </c>
      <c r="C58" s="597"/>
      <c r="D58" s="598">
        <v>0</v>
      </c>
      <c r="E58" s="617"/>
      <c r="F58" s="618"/>
      <c r="G58" s="618"/>
      <c r="H58" s="480">
        <f>'1.1.sz.mell. '!C56</f>
        <v>0</v>
      </c>
    </row>
    <row r="59" spans="1:8" s="282" customFormat="1" ht="12" customHeight="1" thickBot="1" x14ac:dyDescent="0.25">
      <c r="A59" s="18" t="s">
        <v>26</v>
      </c>
      <c r="B59" s="462" t="s">
        <v>237</v>
      </c>
      <c r="C59" s="601">
        <v>1000000</v>
      </c>
      <c r="D59" s="587">
        <v>0</v>
      </c>
      <c r="E59" s="588">
        <f>SUM(E60:E62)</f>
        <v>0</v>
      </c>
      <c r="F59" s="587">
        <f>SUM(F60:F62)</f>
        <v>0</v>
      </c>
      <c r="G59" s="587">
        <f>SUM(G60:G62)</f>
        <v>0</v>
      </c>
      <c r="H59" s="122">
        <f>'1.1.sz.mell. '!C57</f>
        <v>0</v>
      </c>
    </row>
    <row r="60" spans="1:8" s="282" customFormat="1" ht="12" customHeight="1" x14ac:dyDescent="0.2">
      <c r="A60" s="13" t="s">
        <v>142</v>
      </c>
      <c r="B60" s="296" t="s">
        <v>239</v>
      </c>
      <c r="C60" s="593"/>
      <c r="D60" s="613">
        <v>0</v>
      </c>
      <c r="E60" s="595"/>
      <c r="F60" s="596"/>
      <c r="G60" s="596"/>
      <c r="H60" s="481">
        <f>'1.1.sz.mell. '!C58</f>
        <v>0</v>
      </c>
    </row>
    <row r="61" spans="1:8" s="282" customFormat="1" ht="12" customHeight="1" x14ac:dyDescent="0.2">
      <c r="A61" s="12" t="s">
        <v>143</v>
      </c>
      <c r="B61" s="297" t="s">
        <v>364</v>
      </c>
      <c r="C61" s="593"/>
      <c r="D61" s="608">
        <v>0</v>
      </c>
      <c r="E61" s="595"/>
      <c r="F61" s="596"/>
      <c r="G61" s="596"/>
      <c r="H61" s="482">
        <f>'1.1.sz.mell. '!C59</f>
        <v>0</v>
      </c>
    </row>
    <row r="62" spans="1:8" s="282" customFormat="1" ht="12" customHeight="1" x14ac:dyDescent="0.2">
      <c r="A62" s="12" t="s">
        <v>164</v>
      </c>
      <c r="B62" s="297" t="s">
        <v>240</v>
      </c>
      <c r="C62" s="593">
        <v>1000000</v>
      </c>
      <c r="D62" s="608">
        <v>0</v>
      </c>
      <c r="E62" s="595"/>
      <c r="F62" s="596"/>
      <c r="G62" s="596"/>
      <c r="H62" s="482">
        <f>'1.1.sz.mell. '!C60</f>
        <v>0</v>
      </c>
    </row>
    <row r="63" spans="1:8" s="282" customFormat="1" ht="12" customHeight="1" thickBot="1" x14ac:dyDescent="0.25">
      <c r="A63" s="14" t="s">
        <v>238</v>
      </c>
      <c r="B63" s="461" t="s">
        <v>241</v>
      </c>
      <c r="C63" s="597"/>
      <c r="D63" s="614">
        <v>0</v>
      </c>
      <c r="E63" s="595"/>
      <c r="F63" s="596"/>
      <c r="G63" s="596"/>
      <c r="H63" s="483">
        <f>'1.1.sz.mell. '!C61</f>
        <v>0</v>
      </c>
    </row>
    <row r="64" spans="1:8" s="282" customFormat="1" ht="12" customHeight="1" thickBot="1" x14ac:dyDescent="0.25">
      <c r="A64" s="249" t="s">
        <v>451</v>
      </c>
      <c r="B64" s="459" t="s">
        <v>242</v>
      </c>
      <c r="C64" s="615">
        <v>2818913246</v>
      </c>
      <c r="D64" s="587">
        <v>2561157633</v>
      </c>
      <c r="E64" s="609">
        <f>+E7+E14+E21+E28+E36+E48+E54+E59</f>
        <v>1391439714</v>
      </c>
      <c r="F64" s="610">
        <f>+F7+F14+F21+F28+F36+F48+F54+F59</f>
        <v>9416500</v>
      </c>
      <c r="G64" s="610">
        <f>+G7+G14+G21+G28+G36+G48+G54+G59</f>
        <v>390751178</v>
      </c>
      <c r="H64" s="122">
        <f>'1.1.sz.mell. '!C62</f>
        <v>3643333344</v>
      </c>
    </row>
    <row r="65" spans="1:8" s="282" customFormat="1" ht="12" customHeight="1" thickBot="1" x14ac:dyDescent="0.25">
      <c r="A65" s="250" t="s">
        <v>243</v>
      </c>
      <c r="B65" s="462" t="s">
        <v>550</v>
      </c>
      <c r="C65" s="615">
        <v>23966616</v>
      </c>
      <c r="D65" s="587">
        <v>212343590</v>
      </c>
      <c r="E65" s="588">
        <f>SUM(E66:E68)</f>
        <v>144100000</v>
      </c>
      <c r="F65" s="587">
        <f>SUM(F66:F68)</f>
        <v>0</v>
      </c>
      <c r="G65" s="587">
        <f>SUM(G66:G68)</f>
        <v>0</v>
      </c>
      <c r="H65" s="122">
        <f>'1.1.sz.mell. '!C63</f>
        <v>169269106</v>
      </c>
    </row>
    <row r="66" spans="1:8" s="282" customFormat="1" ht="12" customHeight="1" x14ac:dyDescent="0.2">
      <c r="A66" s="13" t="s">
        <v>275</v>
      </c>
      <c r="B66" s="296" t="s">
        <v>245</v>
      </c>
      <c r="C66" s="593">
        <v>23966616</v>
      </c>
      <c r="D66" s="590">
        <v>112343590</v>
      </c>
      <c r="E66" s="595">
        <v>44100000</v>
      </c>
      <c r="F66" s="596"/>
      <c r="G66" s="596"/>
      <c r="H66" s="479">
        <f>'1.1.sz.mell. '!C64</f>
        <v>69269106</v>
      </c>
    </row>
    <row r="67" spans="1:8" s="282" customFormat="1" ht="12" customHeight="1" x14ac:dyDescent="0.2">
      <c r="A67" s="12" t="s">
        <v>284</v>
      </c>
      <c r="B67" s="297" t="s">
        <v>246</v>
      </c>
      <c r="C67" s="593"/>
      <c r="D67" s="594">
        <v>100000000</v>
      </c>
      <c r="E67" s="595">
        <v>100000000</v>
      </c>
      <c r="F67" s="596"/>
      <c r="G67" s="596"/>
      <c r="H67" s="305">
        <f>'1.1.sz.mell. '!C65</f>
        <v>100000000</v>
      </c>
    </row>
    <row r="68" spans="1:8" s="282" customFormat="1" ht="12" customHeight="1" thickBot="1" x14ac:dyDescent="0.25">
      <c r="A68" s="14" t="s">
        <v>285</v>
      </c>
      <c r="B68" s="463" t="s">
        <v>452</v>
      </c>
      <c r="C68" s="597"/>
      <c r="D68" s="614">
        <v>0</v>
      </c>
      <c r="E68" s="595"/>
      <c r="F68" s="596"/>
      <c r="G68" s="596"/>
      <c r="H68" s="483">
        <f>'1.1.sz.mell. '!C66</f>
        <v>0</v>
      </c>
    </row>
    <row r="69" spans="1:8" s="282" customFormat="1" ht="12" customHeight="1" thickBot="1" x14ac:dyDescent="0.25">
      <c r="A69" s="250" t="s">
        <v>248</v>
      </c>
      <c r="B69" s="462" t="s">
        <v>249</v>
      </c>
      <c r="C69" s="658">
        <v>0</v>
      </c>
      <c r="D69" s="587">
        <v>0</v>
      </c>
      <c r="E69" s="588">
        <f>SUM(E70:E73)</f>
        <v>0</v>
      </c>
      <c r="F69" s="587">
        <f>SUM(F70:F73)</f>
        <v>0</v>
      </c>
      <c r="G69" s="587">
        <f>SUM(G70:G73)</f>
        <v>0</v>
      </c>
      <c r="H69" s="122">
        <f>'1.1.sz.mell. '!C67</f>
        <v>0</v>
      </c>
    </row>
    <row r="70" spans="1:8" s="282" customFormat="1" ht="12" customHeight="1" x14ac:dyDescent="0.2">
      <c r="A70" s="13" t="s">
        <v>122</v>
      </c>
      <c r="B70" s="296" t="s">
        <v>250</v>
      </c>
      <c r="C70" s="593"/>
      <c r="D70" s="613">
        <v>0</v>
      </c>
      <c r="E70" s="595"/>
      <c r="F70" s="596"/>
      <c r="G70" s="596"/>
      <c r="H70" s="481">
        <f>'1.1.sz.mell. '!C68</f>
        <v>0</v>
      </c>
    </row>
    <row r="71" spans="1:8" s="282" customFormat="1" ht="17.25" customHeight="1" x14ac:dyDescent="0.2">
      <c r="A71" s="12" t="s">
        <v>123</v>
      </c>
      <c r="B71" s="297" t="s">
        <v>251</v>
      </c>
      <c r="C71" s="593"/>
      <c r="D71" s="608">
        <v>0</v>
      </c>
      <c r="E71" s="595"/>
      <c r="F71" s="596"/>
      <c r="G71" s="596"/>
      <c r="H71" s="482">
        <f>'1.1.sz.mell. '!C69</f>
        <v>0</v>
      </c>
    </row>
    <row r="72" spans="1:8" s="282" customFormat="1" ht="12" customHeight="1" x14ac:dyDescent="0.2">
      <c r="A72" s="12" t="s">
        <v>276</v>
      </c>
      <c r="B72" s="297" t="s">
        <v>252</v>
      </c>
      <c r="C72" s="593"/>
      <c r="D72" s="608">
        <v>0</v>
      </c>
      <c r="E72" s="595"/>
      <c r="F72" s="596"/>
      <c r="G72" s="596"/>
      <c r="H72" s="482">
        <f>'1.1.sz.mell. '!C70</f>
        <v>0</v>
      </c>
    </row>
    <row r="73" spans="1:8" s="282" customFormat="1" ht="12" customHeight="1" thickBot="1" x14ac:dyDescent="0.25">
      <c r="A73" s="14" t="s">
        <v>277</v>
      </c>
      <c r="B73" s="461" t="s">
        <v>253</v>
      </c>
      <c r="C73" s="597"/>
      <c r="D73" s="614">
        <v>0</v>
      </c>
      <c r="E73" s="595"/>
      <c r="F73" s="596"/>
      <c r="G73" s="596"/>
      <c r="H73" s="483">
        <f>'1.1.sz.mell. '!C71</f>
        <v>0</v>
      </c>
    </row>
    <row r="74" spans="1:8" s="282" customFormat="1" ht="12" customHeight="1" thickBot="1" x14ac:dyDescent="0.25">
      <c r="A74" s="250" t="s">
        <v>254</v>
      </c>
      <c r="B74" s="462" t="s">
        <v>255</v>
      </c>
      <c r="C74" s="615">
        <v>292999415</v>
      </c>
      <c r="D74" s="587">
        <v>620677200</v>
      </c>
      <c r="E74" s="588">
        <f>SUM(E75:E76)</f>
        <v>289331423</v>
      </c>
      <c r="F74" s="587">
        <f>SUM(F75:F76)</f>
        <v>447404</v>
      </c>
      <c r="G74" s="587">
        <f>SUM(G75:G76)</f>
        <v>3220588</v>
      </c>
      <c r="H74" s="122">
        <f>'1.1.sz.mell. '!C72</f>
        <v>367267935</v>
      </c>
    </row>
    <row r="75" spans="1:8" s="282" customFormat="1" ht="12" customHeight="1" x14ac:dyDescent="0.2">
      <c r="A75" s="13" t="s">
        <v>278</v>
      </c>
      <c r="B75" s="296" t="s">
        <v>256</v>
      </c>
      <c r="C75" s="593">
        <v>292999415</v>
      </c>
      <c r="D75" s="590">
        <v>620677200</v>
      </c>
      <c r="E75" s="595">
        <v>289331423</v>
      </c>
      <c r="F75" s="596">
        <v>447404</v>
      </c>
      <c r="G75" s="596">
        <v>3220588</v>
      </c>
      <c r="H75" s="479">
        <f>'1.1.sz.mell. '!C73</f>
        <v>367267935</v>
      </c>
    </row>
    <row r="76" spans="1:8" s="282" customFormat="1" ht="12" customHeight="1" thickBot="1" x14ac:dyDescent="0.25">
      <c r="A76" s="14" t="s">
        <v>279</v>
      </c>
      <c r="B76" s="461" t="s">
        <v>257</v>
      </c>
      <c r="C76" s="597"/>
      <c r="D76" s="614">
        <v>0</v>
      </c>
      <c r="E76" s="595"/>
      <c r="F76" s="596"/>
      <c r="G76" s="596"/>
      <c r="H76" s="483">
        <f>'1.1.sz.mell. '!C74</f>
        <v>0</v>
      </c>
    </row>
    <row r="77" spans="1:8" s="282" customFormat="1" ht="12" customHeight="1" thickBot="1" x14ac:dyDescent="0.25">
      <c r="A77" s="250" t="s">
        <v>258</v>
      </c>
      <c r="B77" s="462" t="s">
        <v>259</v>
      </c>
      <c r="C77" s="620">
        <v>38167591</v>
      </c>
      <c r="D77" s="587">
        <v>0</v>
      </c>
      <c r="E77" s="588">
        <f>SUM(E78:E80)</f>
        <v>0</v>
      </c>
      <c r="F77" s="587">
        <f>SUM(F78:F80)</f>
        <v>0</v>
      </c>
      <c r="G77" s="587">
        <f>SUM(G78:G80)</f>
        <v>0</v>
      </c>
      <c r="H77" s="122">
        <f>'1.1.sz.mell. '!C75</f>
        <v>45672254</v>
      </c>
    </row>
    <row r="78" spans="1:8" s="282" customFormat="1" ht="12" customHeight="1" x14ac:dyDescent="0.2">
      <c r="A78" s="13" t="s">
        <v>280</v>
      </c>
      <c r="B78" s="296" t="s">
        <v>260</v>
      </c>
      <c r="C78" s="593">
        <v>38167591</v>
      </c>
      <c r="D78" s="613">
        <v>0</v>
      </c>
      <c r="E78" s="595"/>
      <c r="F78" s="596"/>
      <c r="G78" s="596"/>
      <c r="H78" s="481">
        <f>'1.1.sz.mell. '!C76</f>
        <v>45672254</v>
      </c>
    </row>
    <row r="79" spans="1:8" s="282" customFormat="1" ht="12" customHeight="1" x14ac:dyDescent="0.2">
      <c r="A79" s="12" t="s">
        <v>281</v>
      </c>
      <c r="B79" s="297" t="s">
        <v>261</v>
      </c>
      <c r="C79" s="593"/>
      <c r="D79" s="608">
        <v>0</v>
      </c>
      <c r="E79" s="595"/>
      <c r="F79" s="596"/>
      <c r="G79" s="596"/>
      <c r="H79" s="482">
        <f>'1.1.sz.mell. '!C77</f>
        <v>0</v>
      </c>
    </row>
    <row r="80" spans="1:8" s="282" customFormat="1" ht="12" customHeight="1" thickBot="1" x14ac:dyDescent="0.25">
      <c r="A80" s="14" t="s">
        <v>282</v>
      </c>
      <c r="B80" s="461" t="s">
        <v>262</v>
      </c>
      <c r="C80" s="597"/>
      <c r="D80" s="614">
        <v>0</v>
      </c>
      <c r="E80" s="595"/>
      <c r="F80" s="596"/>
      <c r="G80" s="596"/>
      <c r="H80" s="483">
        <f>'1.1.sz.mell. '!C78</f>
        <v>0</v>
      </c>
    </row>
    <row r="81" spans="1:8" s="282" customFormat="1" ht="12" customHeight="1" thickBot="1" x14ac:dyDescent="0.25">
      <c r="A81" s="250" t="s">
        <v>263</v>
      </c>
      <c r="B81" s="462" t="s">
        <v>283</v>
      </c>
      <c r="C81" s="658">
        <v>0</v>
      </c>
      <c r="D81" s="587">
        <v>0</v>
      </c>
      <c r="E81" s="588">
        <f>SUM(E82:E85)</f>
        <v>0</v>
      </c>
      <c r="F81" s="587">
        <f>SUM(F82:F85)</f>
        <v>0</v>
      </c>
      <c r="G81" s="587">
        <f>SUM(G82:G85)</f>
        <v>0</v>
      </c>
      <c r="H81" s="122">
        <f>'1.1.sz.mell. '!C79</f>
        <v>0</v>
      </c>
    </row>
    <row r="82" spans="1:8" s="282" customFormat="1" ht="12" customHeight="1" x14ac:dyDescent="0.2">
      <c r="A82" s="204" t="s">
        <v>264</v>
      </c>
      <c r="B82" s="296" t="s">
        <v>265</v>
      </c>
      <c r="C82" s="593"/>
      <c r="D82" s="613">
        <v>0</v>
      </c>
      <c r="E82" s="595"/>
      <c r="F82" s="596"/>
      <c r="G82" s="596"/>
      <c r="H82" s="481">
        <f>'1.1.sz.mell. '!C80</f>
        <v>0</v>
      </c>
    </row>
    <row r="83" spans="1:8" s="282" customFormat="1" ht="12" customHeight="1" x14ac:dyDescent="0.2">
      <c r="A83" s="205" t="s">
        <v>266</v>
      </c>
      <c r="B83" s="297" t="s">
        <v>267</v>
      </c>
      <c r="C83" s="593"/>
      <c r="D83" s="608">
        <v>0</v>
      </c>
      <c r="E83" s="595"/>
      <c r="F83" s="596"/>
      <c r="G83" s="596"/>
      <c r="H83" s="482">
        <f>'1.1.sz.mell. '!C81</f>
        <v>0</v>
      </c>
    </row>
    <row r="84" spans="1:8" s="282" customFormat="1" ht="12" customHeight="1" x14ac:dyDescent="0.2">
      <c r="A84" s="205" t="s">
        <v>268</v>
      </c>
      <c r="B84" s="297" t="s">
        <v>269</v>
      </c>
      <c r="C84" s="593"/>
      <c r="D84" s="608">
        <v>0</v>
      </c>
      <c r="E84" s="595"/>
      <c r="F84" s="596"/>
      <c r="G84" s="596"/>
      <c r="H84" s="482">
        <f>'1.1.sz.mell. '!C82</f>
        <v>0</v>
      </c>
    </row>
    <row r="85" spans="1:8" s="282" customFormat="1" ht="12" customHeight="1" thickBot="1" x14ac:dyDescent="0.25">
      <c r="A85" s="206" t="s">
        <v>270</v>
      </c>
      <c r="B85" s="461" t="s">
        <v>271</v>
      </c>
      <c r="C85" s="597"/>
      <c r="D85" s="614">
        <v>0</v>
      </c>
      <c r="E85" s="595"/>
      <c r="F85" s="596"/>
      <c r="G85" s="596"/>
      <c r="H85" s="483">
        <f>'1.1.sz.mell. '!C83</f>
        <v>0</v>
      </c>
    </row>
    <row r="86" spans="1:8" s="282" customFormat="1" ht="12" customHeight="1" thickBot="1" x14ac:dyDescent="0.25">
      <c r="A86" s="250" t="s">
        <v>272</v>
      </c>
      <c r="B86" s="462" t="s">
        <v>453</v>
      </c>
      <c r="C86" s="621"/>
      <c r="D86" s="587">
        <v>0</v>
      </c>
      <c r="E86" s="622"/>
      <c r="F86" s="623"/>
      <c r="G86" s="623"/>
      <c r="H86" s="122">
        <f>'1.1.sz.mell. '!C84</f>
        <v>0</v>
      </c>
    </row>
    <row r="87" spans="1:8" s="282" customFormat="1" ht="12" customHeight="1" thickBot="1" x14ac:dyDescent="0.25">
      <c r="A87" s="250" t="s">
        <v>274</v>
      </c>
      <c r="B87" s="462" t="s">
        <v>273</v>
      </c>
      <c r="C87" s="621"/>
      <c r="D87" s="587">
        <v>0</v>
      </c>
      <c r="E87" s="622"/>
      <c r="F87" s="623"/>
      <c r="G87" s="623"/>
      <c r="H87" s="122">
        <f>'1.1.sz.mell. '!C85</f>
        <v>0</v>
      </c>
    </row>
    <row r="88" spans="1:8" s="282" customFormat="1" ht="12" customHeight="1" thickBot="1" x14ac:dyDescent="0.25">
      <c r="A88" s="250" t="s">
        <v>286</v>
      </c>
      <c r="B88" s="464" t="s">
        <v>454</v>
      </c>
      <c r="C88" s="615">
        <v>355133622</v>
      </c>
      <c r="D88" s="587">
        <v>833020790</v>
      </c>
      <c r="E88" s="609">
        <f>+E65+E69+E74+E77+E81+E87+E86</f>
        <v>433431423</v>
      </c>
      <c r="F88" s="610">
        <f>+F65+F69+F74+F77+F81+F87+F86</f>
        <v>447404</v>
      </c>
      <c r="G88" s="610">
        <f>+G65+G69+G74+G77+G81+G87+G86</f>
        <v>3220588</v>
      </c>
      <c r="H88" s="122">
        <f>'1.1.sz.mell. '!C86</f>
        <v>582209295</v>
      </c>
    </row>
    <row r="89" spans="1:8" s="282" customFormat="1" ht="12" customHeight="1" thickBot="1" x14ac:dyDescent="0.25">
      <c r="A89" s="252" t="s">
        <v>455</v>
      </c>
      <c r="B89" s="465" t="s">
        <v>456</v>
      </c>
      <c r="C89" s="615">
        <v>3174046868</v>
      </c>
      <c r="D89" s="587">
        <v>3394178423</v>
      </c>
      <c r="E89" s="609">
        <f>+E64+E88</f>
        <v>1824871137</v>
      </c>
      <c r="F89" s="610">
        <f>+F64+F88</f>
        <v>9863904</v>
      </c>
      <c r="G89" s="610">
        <f>+G64+G88</f>
        <v>393971766</v>
      </c>
      <c r="H89" s="122">
        <f>'1.1.sz.mell. '!C87</f>
        <v>4225542639</v>
      </c>
    </row>
    <row r="90" spans="1:8" s="282" customFormat="1" ht="12" customHeight="1" x14ac:dyDescent="0.2">
      <c r="A90" s="287"/>
      <c r="B90" s="288"/>
      <c r="C90" s="624"/>
      <c r="D90" s="625"/>
      <c r="E90" s="626"/>
      <c r="F90" s="626"/>
      <c r="G90" s="626"/>
      <c r="H90" s="627"/>
    </row>
    <row r="91" spans="1:8" s="282" customFormat="1" ht="12" customHeight="1" x14ac:dyDescent="0.2">
      <c r="A91" s="1172" t="s">
        <v>47</v>
      </c>
      <c r="B91" s="1172"/>
      <c r="C91" s="1172"/>
      <c r="D91" s="1172"/>
      <c r="E91" s="1172"/>
      <c r="F91" s="1172"/>
      <c r="G91" s="1172"/>
      <c r="H91" s="1172"/>
    </row>
    <row r="92" spans="1:8" s="282" customFormat="1" ht="12" customHeight="1" thickBot="1" x14ac:dyDescent="0.25">
      <c r="A92" s="1173" t="s">
        <v>125</v>
      </c>
      <c r="B92" s="1173"/>
      <c r="C92" s="628"/>
      <c r="D92" s="578"/>
      <c r="E92" s="578"/>
      <c r="F92" s="578"/>
      <c r="G92" s="578"/>
      <c r="H92" s="629" t="str">
        <f>H4</f>
        <v>Forintban!</v>
      </c>
    </row>
    <row r="93" spans="1:8" s="282" customFormat="1" ht="36.75" customHeight="1" thickBot="1" x14ac:dyDescent="0.25">
      <c r="A93" s="21" t="s">
        <v>17</v>
      </c>
      <c r="B93" s="477" t="s">
        <v>48</v>
      </c>
      <c r="C93" s="581" t="s">
        <v>621</v>
      </c>
      <c r="D93" s="581" t="s">
        <v>622</v>
      </c>
      <c r="E93" s="582"/>
      <c r="F93" s="582"/>
      <c r="G93" s="582"/>
      <c r="H93" s="583" t="s">
        <v>603</v>
      </c>
    </row>
    <row r="94" spans="1:8" s="282" customFormat="1" ht="12" customHeight="1" thickBot="1" x14ac:dyDescent="0.25">
      <c r="A94" s="28" t="s">
        <v>443</v>
      </c>
      <c r="B94" s="306" t="s">
        <v>444</v>
      </c>
      <c r="C94" s="615" t="s">
        <v>445</v>
      </c>
      <c r="D94" s="630" t="s">
        <v>495</v>
      </c>
      <c r="E94" s="585"/>
      <c r="F94" s="585"/>
      <c r="G94" s="585"/>
      <c r="H94" s="586" t="s">
        <v>496</v>
      </c>
    </row>
    <row r="95" spans="1:8" s="282" customFormat="1" ht="15" customHeight="1" thickBot="1" x14ac:dyDescent="0.25">
      <c r="A95" s="20" t="s">
        <v>19</v>
      </c>
      <c r="B95" s="466" t="s">
        <v>494</v>
      </c>
      <c r="C95" s="615">
        <v>2320236612</v>
      </c>
      <c r="D95" s="588">
        <v>2530082018</v>
      </c>
      <c r="E95" s="631">
        <f>+E96+E97+E98+E99+E100+E113</f>
        <v>336688965</v>
      </c>
      <c r="F95" s="586">
        <f>+F96+F97+F98+F99+F100+F113</f>
        <v>223822850</v>
      </c>
      <c r="G95" s="615">
        <f>G96+G97+G98+G99+G100+G113</f>
        <v>1388014694</v>
      </c>
      <c r="H95" s="311">
        <f>'1.1.sz.mell. '!C93</f>
        <v>2664930064</v>
      </c>
    </row>
    <row r="96" spans="1:8" s="282" customFormat="1" ht="12.95" customHeight="1" x14ac:dyDescent="0.2">
      <c r="A96" s="15" t="s">
        <v>95</v>
      </c>
      <c r="B96" s="467" t="s">
        <v>49</v>
      </c>
      <c r="C96" s="632">
        <v>1063192965</v>
      </c>
      <c r="D96" s="633">
        <v>1000086849</v>
      </c>
      <c r="E96" s="634">
        <f>25364000+485000+6010000+3749000+165142000+48000+105000-275033584+150179</f>
        <v>-73980405</v>
      </c>
      <c r="F96" s="635">
        <v>119212000</v>
      </c>
      <c r="G96" s="635">
        <v>659195571</v>
      </c>
      <c r="H96" s="436">
        <f>'1.1.sz.mell. '!C94</f>
        <v>1110072178</v>
      </c>
    </row>
    <row r="97" spans="1:8" ht="16.5" customHeight="1" x14ac:dyDescent="0.25">
      <c r="A97" s="12" t="s">
        <v>96</v>
      </c>
      <c r="B97" s="468" t="s">
        <v>144</v>
      </c>
      <c r="C97" s="636">
        <v>223000766</v>
      </c>
      <c r="D97" s="637">
        <v>210209195</v>
      </c>
      <c r="E97" s="595">
        <f>5239000+143000+1233000+14000+1652000+19299000+10000+23000-28480392-1528915</f>
        <v>-2396307</v>
      </c>
      <c r="F97" s="596">
        <v>28323500</v>
      </c>
      <c r="G97" s="596">
        <v>154830861</v>
      </c>
      <c r="H97" s="436">
        <f>'1.1.sz.mell. '!C95</f>
        <v>227162504</v>
      </c>
    </row>
    <row r="98" spans="1:8" x14ac:dyDescent="0.25">
      <c r="A98" s="12" t="s">
        <v>97</v>
      </c>
      <c r="B98" s="468" t="s">
        <v>120</v>
      </c>
      <c r="C98" s="638">
        <v>840414038</v>
      </c>
      <c r="D98" s="637">
        <v>907885170</v>
      </c>
      <c r="E98" s="60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05">
        <v>52037350</v>
      </c>
      <c r="G98" s="596">
        <v>573988262</v>
      </c>
      <c r="H98" s="436">
        <f>'1.1.sz.mell. '!C96</f>
        <v>950578878</v>
      </c>
    </row>
    <row r="99" spans="1:8" s="280" customFormat="1" ht="12" customHeight="1" x14ac:dyDescent="0.2">
      <c r="A99" s="12" t="s">
        <v>98</v>
      </c>
      <c r="B99" s="471" t="s">
        <v>145</v>
      </c>
      <c r="C99" s="636">
        <v>75302178</v>
      </c>
      <c r="D99" s="637">
        <v>162784000</v>
      </c>
      <c r="E99" s="604">
        <f>70980000-5080000-2000000</f>
        <v>63900000</v>
      </c>
      <c r="F99" s="605">
        <v>24250000</v>
      </c>
      <c r="G99" s="605"/>
      <c r="H99" s="436">
        <f>'1.1.sz.mell. '!C97</f>
        <v>51600000</v>
      </c>
    </row>
    <row r="100" spans="1:8" ht="12" customHeight="1" x14ac:dyDescent="0.25">
      <c r="A100" s="12" t="s">
        <v>109</v>
      </c>
      <c r="B100" s="17" t="s">
        <v>146</v>
      </c>
      <c r="C100" s="636">
        <v>118326665</v>
      </c>
      <c r="D100" s="637">
        <v>163812363</v>
      </c>
      <c r="E100" s="604">
        <f>SUM(E101:E112)</f>
        <v>76126000</v>
      </c>
      <c r="F100" s="605">
        <f>SUM(F101:F112)</f>
        <v>0</v>
      </c>
      <c r="G100" s="605"/>
      <c r="H100" s="436">
        <f>'1.1.sz.mell. '!C98</f>
        <v>262535762</v>
      </c>
    </row>
    <row r="101" spans="1:8" ht="12" customHeight="1" x14ac:dyDescent="0.25">
      <c r="A101" s="12" t="s">
        <v>99</v>
      </c>
      <c r="B101" s="468" t="s">
        <v>457</v>
      </c>
      <c r="C101" s="638">
        <v>10168527</v>
      </c>
      <c r="D101" s="637">
        <v>5258498</v>
      </c>
      <c r="E101" s="604"/>
      <c r="F101" s="605"/>
      <c r="G101" s="605"/>
      <c r="H101" s="436">
        <f>'1.1.sz.mell. '!C99</f>
        <v>9800000</v>
      </c>
    </row>
    <row r="102" spans="1:8" ht="12" customHeight="1" x14ac:dyDescent="0.25">
      <c r="A102" s="12" t="s">
        <v>100</v>
      </c>
      <c r="B102" s="470" t="s">
        <v>458</v>
      </c>
      <c r="C102" s="638"/>
      <c r="D102" s="637">
        <v>0</v>
      </c>
      <c r="E102" s="604"/>
      <c r="F102" s="605"/>
      <c r="G102" s="605"/>
      <c r="H102" s="752">
        <f>'1.1.sz.mell. '!C100</f>
        <v>0</v>
      </c>
    </row>
    <row r="103" spans="1:8" ht="12" customHeight="1" x14ac:dyDescent="0.25">
      <c r="A103" s="12" t="s">
        <v>110</v>
      </c>
      <c r="B103" s="470" t="s">
        <v>459</v>
      </c>
      <c r="C103" s="638"/>
      <c r="D103" s="637">
        <v>159000</v>
      </c>
      <c r="E103" s="604"/>
      <c r="F103" s="605"/>
      <c r="G103" s="605"/>
      <c r="H103" s="752">
        <f>'1.1.sz.mell. '!C101</f>
        <v>0</v>
      </c>
    </row>
    <row r="104" spans="1:8" ht="12" customHeight="1" x14ac:dyDescent="0.25">
      <c r="A104" s="12" t="s">
        <v>111</v>
      </c>
      <c r="B104" s="478" t="s">
        <v>289</v>
      </c>
      <c r="C104" s="639"/>
      <c r="D104" s="637">
        <v>0</v>
      </c>
      <c r="E104" s="604"/>
      <c r="F104" s="605"/>
      <c r="G104" s="605"/>
      <c r="H104" s="752">
        <f>'1.1.sz.mell. '!C102</f>
        <v>0</v>
      </c>
    </row>
    <row r="105" spans="1:8" ht="12" customHeight="1" x14ac:dyDescent="0.25">
      <c r="A105" s="12" t="s">
        <v>112</v>
      </c>
      <c r="B105" s="476" t="s">
        <v>290</v>
      </c>
      <c r="C105" s="638"/>
      <c r="D105" s="637">
        <v>0</v>
      </c>
      <c r="E105" s="604"/>
      <c r="F105" s="605"/>
      <c r="G105" s="605"/>
      <c r="H105" s="752">
        <f>'1.1.sz.mell. '!C103</f>
        <v>0</v>
      </c>
    </row>
    <row r="106" spans="1:8" ht="12" customHeight="1" x14ac:dyDescent="0.25">
      <c r="A106" s="12" t="s">
        <v>113</v>
      </c>
      <c r="B106" s="476" t="s">
        <v>291</v>
      </c>
      <c r="C106" s="638"/>
      <c r="D106" s="637">
        <v>0</v>
      </c>
      <c r="E106" s="604"/>
      <c r="F106" s="605"/>
      <c r="G106" s="605"/>
      <c r="H106" s="752">
        <f>'1.1.sz.mell. '!C104</f>
        <v>0</v>
      </c>
    </row>
    <row r="107" spans="1:8" ht="12" customHeight="1" x14ac:dyDescent="0.25">
      <c r="A107" s="12" t="s">
        <v>115</v>
      </c>
      <c r="B107" s="478" t="s">
        <v>292</v>
      </c>
      <c r="C107" s="640">
        <v>785000</v>
      </c>
      <c r="D107" s="637">
        <v>660000</v>
      </c>
      <c r="E107" s="604"/>
      <c r="F107" s="605"/>
      <c r="G107" s="605"/>
      <c r="H107" s="436">
        <f>'1.1.sz.mell. '!C105</f>
        <v>4012934</v>
      </c>
    </row>
    <row r="108" spans="1:8" ht="12" customHeight="1" x14ac:dyDescent="0.25">
      <c r="A108" s="12" t="s">
        <v>147</v>
      </c>
      <c r="B108" s="478" t="s">
        <v>293</v>
      </c>
      <c r="C108" s="639"/>
      <c r="D108" s="637">
        <v>0</v>
      </c>
      <c r="E108" s="604"/>
      <c r="F108" s="605"/>
      <c r="G108" s="605"/>
      <c r="H108" s="752">
        <f>'1.1.sz.mell. '!C106</f>
        <v>0</v>
      </c>
    </row>
    <row r="109" spans="1:8" ht="12" customHeight="1" x14ac:dyDescent="0.25">
      <c r="A109" s="12" t="s">
        <v>287</v>
      </c>
      <c r="B109" s="476" t="s">
        <v>294</v>
      </c>
      <c r="C109" s="640"/>
      <c r="D109" s="637">
        <v>0</v>
      </c>
      <c r="E109" s="604"/>
      <c r="F109" s="605"/>
      <c r="G109" s="605"/>
      <c r="H109" s="436">
        <f>'1.1.sz.mell. '!C107</f>
        <v>15400000</v>
      </c>
    </row>
    <row r="110" spans="1:8" ht="12" customHeight="1" x14ac:dyDescent="0.25">
      <c r="A110" s="11" t="s">
        <v>288</v>
      </c>
      <c r="B110" s="470" t="s">
        <v>295</v>
      </c>
      <c r="C110" s="640"/>
      <c r="D110" s="637">
        <v>0</v>
      </c>
      <c r="E110" s="604"/>
      <c r="F110" s="605"/>
      <c r="G110" s="605"/>
      <c r="H110" s="752">
        <f>'1.1.sz.mell. '!C108</f>
        <v>0</v>
      </c>
    </row>
    <row r="111" spans="1:8" ht="12" customHeight="1" x14ac:dyDescent="0.25">
      <c r="A111" s="12" t="s">
        <v>460</v>
      </c>
      <c r="B111" s="470" t="s">
        <v>296</v>
      </c>
      <c r="C111" s="640"/>
      <c r="D111" s="637">
        <v>0</v>
      </c>
      <c r="E111" s="604"/>
      <c r="F111" s="605"/>
      <c r="G111" s="605"/>
      <c r="H111" s="752">
        <f>'1.1.sz.mell. '!C109</f>
        <v>0</v>
      </c>
    </row>
    <row r="112" spans="1:8" ht="12" customHeight="1" x14ac:dyDescent="0.25">
      <c r="A112" s="14" t="s">
        <v>461</v>
      </c>
      <c r="B112" s="470" t="s">
        <v>297</v>
      </c>
      <c r="C112" s="640">
        <v>107373138</v>
      </c>
      <c r="D112" s="637">
        <v>157734865</v>
      </c>
      <c r="E112" s="595">
        <f>536000+11389000+8562000+16678000+6401000+32560000</f>
        <v>76126000</v>
      </c>
      <c r="F112" s="596"/>
      <c r="G112" s="605"/>
      <c r="H112" s="436">
        <f>'1.1.sz.mell. '!C110</f>
        <v>233322828</v>
      </c>
    </row>
    <row r="113" spans="1:8" ht="12" customHeight="1" x14ac:dyDescent="0.25">
      <c r="A113" s="12" t="s">
        <v>462</v>
      </c>
      <c r="B113" s="471" t="s">
        <v>50</v>
      </c>
      <c r="C113" s="641"/>
      <c r="D113" s="637">
        <v>85304441</v>
      </c>
      <c r="E113" s="595">
        <f>E114+E115</f>
        <v>96195254</v>
      </c>
      <c r="F113" s="596"/>
      <c r="G113" s="596">
        <f>G114+G115</f>
        <v>0</v>
      </c>
      <c r="H113" s="436">
        <f>'1.1.sz.mell. '!C111</f>
        <v>62980742</v>
      </c>
    </row>
    <row r="114" spans="1:8" ht="12" customHeight="1" x14ac:dyDescent="0.25">
      <c r="A114" s="12" t="s">
        <v>463</v>
      </c>
      <c r="B114" s="468" t="s">
        <v>464</v>
      </c>
      <c r="C114" s="642"/>
      <c r="D114" s="637">
        <v>4171554</v>
      </c>
      <c r="E114" s="604">
        <f>20000000+1656508-26939462</f>
        <v>-5282954</v>
      </c>
      <c r="F114" s="605"/>
      <c r="G114" s="596"/>
      <c r="H114" s="436">
        <f>'1.1.sz.mell. '!C112</f>
        <v>5503282</v>
      </c>
    </row>
    <row r="115" spans="1:8" ht="12" customHeight="1" thickBot="1" x14ac:dyDescent="0.3">
      <c r="A115" s="16" t="s">
        <v>465</v>
      </c>
      <c r="B115" s="472" t="s">
        <v>466</v>
      </c>
      <c r="C115" s="643"/>
      <c r="D115" s="644">
        <v>81132887</v>
      </c>
      <c r="E115" s="645">
        <f>110613300+500000-3261000-6374092</f>
        <v>101478208</v>
      </c>
      <c r="F115" s="646"/>
      <c r="G115" s="646"/>
      <c r="H115" s="436">
        <f>'1.1.sz.mell. '!C113</f>
        <v>57477460</v>
      </c>
    </row>
    <row r="116" spans="1:8" ht="12" customHeight="1" thickBot="1" x14ac:dyDescent="0.3">
      <c r="A116" s="254" t="s">
        <v>20</v>
      </c>
      <c r="B116" s="438" t="s">
        <v>298</v>
      </c>
      <c r="C116" s="615">
        <v>194808124</v>
      </c>
      <c r="D116" s="588">
        <v>717442110</v>
      </c>
      <c r="E116" s="588">
        <f>+E117+E119+E121</f>
        <v>132599368</v>
      </c>
      <c r="F116" s="587">
        <f>+F117+F119+F121</f>
        <v>1901000</v>
      </c>
      <c r="G116" s="647">
        <f>+G117+G119+G121</f>
        <v>9272287</v>
      </c>
      <c r="H116" s="441">
        <f>'1.1.sz.mell. '!C114</f>
        <v>1401755743</v>
      </c>
    </row>
    <row r="117" spans="1:8" ht="12" customHeight="1" x14ac:dyDescent="0.25">
      <c r="A117" s="13" t="s">
        <v>101</v>
      </c>
      <c r="B117" s="468" t="s">
        <v>163</v>
      </c>
      <c r="C117" s="648">
        <v>41111560</v>
      </c>
      <c r="D117" s="633">
        <v>374710583</v>
      </c>
      <c r="E117" s="591">
        <f>6621000+2963001+787402+10624171+3081125+300001+529000+1654000+447000+2237000+90200+6604000+301000+204000-18155486-25581571</f>
        <v>-7294157</v>
      </c>
      <c r="F117" s="592">
        <v>1901000</v>
      </c>
      <c r="G117" s="592">
        <v>8772287</v>
      </c>
      <c r="H117" s="436">
        <f>'1.1.sz.mell. '!C115</f>
        <v>871677031</v>
      </c>
    </row>
    <row r="118" spans="1:8" x14ac:dyDescent="0.25">
      <c r="A118" s="13" t="s">
        <v>102</v>
      </c>
      <c r="B118" s="469" t="s">
        <v>302</v>
      </c>
      <c r="C118" s="649"/>
      <c r="D118" s="637">
        <v>295105824</v>
      </c>
      <c r="E118" s="591">
        <f>14492698-14128084</f>
        <v>364614</v>
      </c>
      <c r="F118" s="592"/>
      <c r="G118" s="592"/>
      <c r="H118" s="436">
        <f>'1.1.sz.mell. '!C116</f>
        <v>714714839</v>
      </c>
    </row>
    <row r="119" spans="1:8" ht="12" customHeight="1" x14ac:dyDescent="0.25">
      <c r="A119" s="13" t="s">
        <v>103</v>
      </c>
      <c r="B119" s="469" t="s">
        <v>148</v>
      </c>
      <c r="C119" s="640">
        <v>140483298</v>
      </c>
      <c r="D119" s="637">
        <v>276110806</v>
      </c>
      <c r="E119" s="595">
        <f>53340000+21000000+1513000+2996000+809000+9333667+7750358</f>
        <v>96742025</v>
      </c>
      <c r="F119" s="596"/>
      <c r="G119" s="596">
        <v>500000</v>
      </c>
      <c r="H119" s="436">
        <f>'1.1.sz.mell. '!C117</f>
        <v>502850626</v>
      </c>
    </row>
    <row r="120" spans="1:8" ht="12" customHeight="1" x14ac:dyDescent="0.25">
      <c r="A120" s="13" t="s">
        <v>104</v>
      </c>
      <c r="B120" s="469" t="s">
        <v>303</v>
      </c>
      <c r="C120" s="650"/>
      <c r="D120" s="637">
        <v>230773273</v>
      </c>
      <c r="E120" s="595">
        <v>53340000</v>
      </c>
      <c r="F120" s="651"/>
      <c r="G120" s="595"/>
      <c r="H120" s="436">
        <f>'1.1.sz.mell. '!C118</f>
        <v>149871308</v>
      </c>
    </row>
    <row r="121" spans="1:8" ht="12" customHeight="1" x14ac:dyDescent="0.25">
      <c r="A121" s="13" t="s">
        <v>105</v>
      </c>
      <c r="B121" s="461" t="s">
        <v>165</v>
      </c>
      <c r="C121" s="652">
        <v>13213266</v>
      </c>
      <c r="D121" s="637">
        <v>66620721</v>
      </c>
      <c r="E121" s="595">
        <f>SUM(E122:E129)</f>
        <v>43151500</v>
      </c>
      <c r="F121" s="595"/>
      <c r="G121" s="595"/>
      <c r="H121" s="436">
        <f>'1.1.sz.mell. '!C119</f>
        <v>27228086</v>
      </c>
    </row>
    <row r="122" spans="1:8" ht="12" customHeight="1" x14ac:dyDescent="0.25">
      <c r="A122" s="13" t="s">
        <v>114</v>
      </c>
      <c r="B122" s="460" t="s">
        <v>365</v>
      </c>
      <c r="C122" s="653"/>
      <c r="D122" s="637">
        <v>0</v>
      </c>
      <c r="E122" s="599"/>
      <c r="F122" s="599"/>
      <c r="G122" s="595"/>
      <c r="H122" s="436">
        <f>'1.1.sz.mell. '!C120</f>
        <v>0</v>
      </c>
    </row>
    <row r="123" spans="1:8" ht="12" customHeight="1" x14ac:dyDescent="0.25">
      <c r="A123" s="13" t="s">
        <v>116</v>
      </c>
      <c r="B123" s="475" t="s">
        <v>308</v>
      </c>
      <c r="C123" s="654"/>
      <c r="D123" s="637">
        <v>0</v>
      </c>
      <c r="E123" s="599"/>
      <c r="F123" s="599"/>
      <c r="G123" s="595"/>
      <c r="H123" s="436">
        <f>'1.1.sz.mell. '!C121</f>
        <v>0</v>
      </c>
    </row>
    <row r="124" spans="1:8" ht="12" customHeight="1" x14ac:dyDescent="0.25">
      <c r="A124" s="13" t="s">
        <v>149</v>
      </c>
      <c r="B124" s="476" t="s">
        <v>291</v>
      </c>
      <c r="C124" s="655"/>
      <c r="D124" s="637">
        <v>0</v>
      </c>
      <c r="E124" s="599"/>
      <c r="F124" s="599"/>
      <c r="G124" s="595"/>
      <c r="H124" s="436">
        <f>'1.1.sz.mell. '!C122</f>
        <v>0</v>
      </c>
    </row>
    <row r="125" spans="1:8" ht="12" customHeight="1" x14ac:dyDescent="0.25">
      <c r="A125" s="13" t="s">
        <v>150</v>
      </c>
      <c r="B125" s="476" t="s">
        <v>307</v>
      </c>
      <c r="C125" s="655"/>
      <c r="D125" s="637">
        <v>0</v>
      </c>
      <c r="E125" s="599"/>
      <c r="F125" s="599"/>
      <c r="G125" s="595"/>
      <c r="H125" s="436">
        <f>'1.1.sz.mell. '!C123</f>
        <v>308980</v>
      </c>
    </row>
    <row r="126" spans="1:8" ht="12" customHeight="1" x14ac:dyDescent="0.25">
      <c r="A126" s="13" t="s">
        <v>151</v>
      </c>
      <c r="B126" s="476" t="s">
        <v>306</v>
      </c>
      <c r="C126" s="655"/>
      <c r="D126" s="637">
        <v>0</v>
      </c>
      <c r="E126" s="599"/>
      <c r="F126" s="599"/>
      <c r="G126" s="595"/>
      <c r="H126" s="436">
        <f>'1.1.sz.mell. '!C124</f>
        <v>0</v>
      </c>
    </row>
    <row r="127" spans="1:8" ht="12" customHeight="1" x14ac:dyDescent="0.25">
      <c r="A127" s="13" t="s">
        <v>299</v>
      </c>
      <c r="B127" s="476" t="s">
        <v>294</v>
      </c>
      <c r="C127" s="655">
        <v>1015</v>
      </c>
      <c r="D127" s="637">
        <v>0</v>
      </c>
      <c r="E127" s="599"/>
      <c r="F127" s="599"/>
      <c r="G127" s="595"/>
      <c r="H127" s="436">
        <f>'1.1.sz.mell. '!C125</f>
        <v>0</v>
      </c>
    </row>
    <row r="128" spans="1:8" ht="12" customHeight="1" x14ac:dyDescent="0.25">
      <c r="A128" s="13" t="s">
        <v>300</v>
      </c>
      <c r="B128" s="476" t="s">
        <v>305</v>
      </c>
      <c r="C128" s="655"/>
      <c r="D128" s="637">
        <v>0</v>
      </c>
      <c r="E128" s="599"/>
      <c r="F128" s="599"/>
      <c r="G128" s="595"/>
      <c r="H128" s="436">
        <f>'1.1.sz.mell. '!C126</f>
        <v>0</v>
      </c>
    </row>
    <row r="129" spans="1:8" ht="12" customHeight="1" thickBot="1" x14ac:dyDescent="0.3">
      <c r="A129" s="11" t="s">
        <v>301</v>
      </c>
      <c r="B129" s="476" t="s">
        <v>304</v>
      </c>
      <c r="C129" s="640">
        <v>13212251</v>
      </c>
      <c r="D129" s="644">
        <v>66620721</v>
      </c>
      <c r="E129" s="604">
        <f>42072000+1079500</f>
        <v>43151500</v>
      </c>
      <c r="F129" s="604"/>
      <c r="G129" s="604"/>
      <c r="H129" s="436">
        <f>'1.1.sz.mell. '!C127</f>
        <v>26919106</v>
      </c>
    </row>
    <row r="130" spans="1:8" ht="12" customHeight="1" thickBot="1" x14ac:dyDescent="0.3">
      <c r="A130" s="18" t="s">
        <v>21</v>
      </c>
      <c r="B130" s="439" t="s">
        <v>467</v>
      </c>
      <c r="C130" s="615">
        <v>2515044736</v>
      </c>
      <c r="D130" s="588">
        <v>3247524128</v>
      </c>
      <c r="E130" s="588">
        <f>+E95+E116</f>
        <v>469288333</v>
      </c>
      <c r="F130" s="587">
        <f>+F95+F116</f>
        <v>225723850</v>
      </c>
      <c r="G130" s="587">
        <f>+G95+G116</f>
        <v>1397286981</v>
      </c>
      <c r="H130" s="441">
        <f>'1.1.sz.mell. '!C128</f>
        <v>4066685807</v>
      </c>
    </row>
    <row r="131" spans="1:8" ht="12" customHeight="1" thickBot="1" x14ac:dyDescent="0.3">
      <c r="A131" s="18" t="s">
        <v>22</v>
      </c>
      <c r="B131" s="439" t="s">
        <v>468</v>
      </c>
      <c r="C131" s="615">
        <v>3160000</v>
      </c>
      <c r="D131" s="588">
        <v>108486704</v>
      </c>
      <c r="E131" s="588">
        <f>+E132+E133+E134</f>
        <v>103161000</v>
      </c>
      <c r="F131" s="587">
        <f>+F132+F133+F134</f>
        <v>0</v>
      </c>
      <c r="G131" s="587">
        <f>+G132+G133+G134</f>
        <v>0</v>
      </c>
      <c r="H131" s="441">
        <f>'1.1.sz.mell. '!C129</f>
        <v>116952500</v>
      </c>
    </row>
    <row r="132" spans="1:8" ht="12" customHeight="1" x14ac:dyDescent="0.25">
      <c r="A132" s="13" t="s">
        <v>200</v>
      </c>
      <c r="B132" s="469" t="s">
        <v>469</v>
      </c>
      <c r="C132" s="640">
        <v>3160000</v>
      </c>
      <c r="D132" s="611">
        <v>8486704</v>
      </c>
      <c r="E132" s="595">
        <v>3161000</v>
      </c>
      <c r="F132" s="595"/>
      <c r="G132" s="595"/>
      <c r="H132" s="436">
        <f>'1.1.sz.mell. '!C130</f>
        <v>16952500</v>
      </c>
    </row>
    <row r="133" spans="1:8" ht="12" customHeight="1" x14ac:dyDescent="0.25">
      <c r="A133" s="13" t="s">
        <v>203</v>
      </c>
      <c r="B133" s="469" t="s">
        <v>470</v>
      </c>
      <c r="C133" s="650"/>
      <c r="D133" s="656">
        <v>100000000</v>
      </c>
      <c r="E133" s="599">
        <v>100000000</v>
      </c>
      <c r="F133" s="599"/>
      <c r="G133" s="599"/>
      <c r="H133" s="436">
        <f>'1.1.sz.mell. '!C131</f>
        <v>100000000</v>
      </c>
    </row>
    <row r="134" spans="1:8" ht="12" customHeight="1" thickBot="1" x14ac:dyDescent="0.3">
      <c r="A134" s="11" t="s">
        <v>204</v>
      </c>
      <c r="B134" s="469" t="s">
        <v>471</v>
      </c>
      <c r="C134" s="650"/>
      <c r="D134" s="657">
        <v>0</v>
      </c>
      <c r="E134" s="599"/>
      <c r="F134" s="599"/>
      <c r="G134" s="599"/>
      <c r="H134" s="510">
        <f>'1.1.sz.mell. '!C132</f>
        <v>0</v>
      </c>
    </row>
    <row r="135" spans="1:8" ht="12" customHeight="1" thickBot="1" x14ac:dyDescent="0.3">
      <c r="A135" s="18" t="s">
        <v>23</v>
      </c>
      <c r="B135" s="439" t="s">
        <v>472</v>
      </c>
      <c r="C135" s="658"/>
      <c r="D135" s="619">
        <v>0</v>
      </c>
      <c r="E135" s="588">
        <f>+E136+E137+E138+E139+E140+E141</f>
        <v>0</v>
      </c>
      <c r="F135" s="587">
        <f>+F136+F137+F138+F139+F140+F141</f>
        <v>0</v>
      </c>
      <c r="G135" s="587">
        <f>SUM(G136:G141)</f>
        <v>0</v>
      </c>
      <c r="H135" s="441">
        <f>'1.1.sz.mell. '!C133</f>
        <v>0</v>
      </c>
    </row>
    <row r="136" spans="1:8" ht="12" customHeight="1" x14ac:dyDescent="0.25">
      <c r="A136" s="13" t="s">
        <v>88</v>
      </c>
      <c r="B136" s="473" t="s">
        <v>473</v>
      </c>
      <c r="C136" s="654"/>
      <c r="D136" s="611">
        <v>0</v>
      </c>
      <c r="E136" s="599"/>
      <c r="F136" s="599"/>
      <c r="G136" s="599"/>
      <c r="H136" s="436">
        <f>'1.1.sz.mell. '!C134</f>
        <v>0</v>
      </c>
    </row>
    <row r="137" spans="1:8" ht="12" customHeight="1" x14ac:dyDescent="0.25">
      <c r="A137" s="13" t="s">
        <v>89</v>
      </c>
      <c r="B137" s="473" t="s">
        <v>474</v>
      </c>
      <c r="C137" s="654"/>
      <c r="D137" s="656">
        <v>0</v>
      </c>
      <c r="E137" s="599"/>
      <c r="F137" s="599"/>
      <c r="G137" s="599"/>
      <c r="H137" s="436">
        <f>'1.1.sz.mell. '!C135</f>
        <v>0</v>
      </c>
    </row>
    <row r="138" spans="1:8" ht="12" customHeight="1" x14ac:dyDescent="0.25">
      <c r="A138" s="13" t="s">
        <v>90</v>
      </c>
      <c r="B138" s="473" t="s">
        <v>475</v>
      </c>
      <c r="C138" s="654"/>
      <c r="D138" s="656">
        <v>0</v>
      </c>
      <c r="E138" s="599"/>
      <c r="F138" s="599"/>
      <c r="G138" s="599"/>
      <c r="H138" s="436">
        <f>'1.1.sz.mell. '!C136</f>
        <v>0</v>
      </c>
    </row>
    <row r="139" spans="1:8" ht="12" customHeight="1" x14ac:dyDescent="0.25">
      <c r="A139" s="13" t="s">
        <v>136</v>
      </c>
      <c r="B139" s="473" t="s">
        <v>476</v>
      </c>
      <c r="C139" s="654"/>
      <c r="D139" s="656">
        <v>0</v>
      </c>
      <c r="E139" s="599"/>
      <c r="F139" s="599"/>
      <c r="G139" s="599"/>
      <c r="H139" s="436">
        <f>'1.1.sz.mell. '!C137</f>
        <v>0</v>
      </c>
    </row>
    <row r="140" spans="1:8" ht="12" customHeight="1" x14ac:dyDescent="0.25">
      <c r="A140" s="13" t="s">
        <v>137</v>
      </c>
      <c r="B140" s="473" t="s">
        <v>477</v>
      </c>
      <c r="C140" s="654"/>
      <c r="D140" s="656">
        <v>0</v>
      </c>
      <c r="E140" s="599"/>
      <c r="F140" s="599"/>
      <c r="G140" s="599"/>
      <c r="H140" s="436">
        <f>'1.1.sz.mell. '!C138</f>
        <v>0</v>
      </c>
    </row>
    <row r="141" spans="1:8" ht="12" customHeight="1" thickBot="1" x14ac:dyDescent="0.3">
      <c r="A141" s="11" t="s">
        <v>138</v>
      </c>
      <c r="B141" s="473" t="s">
        <v>478</v>
      </c>
      <c r="C141" s="654"/>
      <c r="D141" s="657">
        <v>0</v>
      </c>
      <c r="E141" s="599"/>
      <c r="F141" s="599"/>
      <c r="G141" s="599"/>
      <c r="H141" s="510">
        <f>'1.1.sz.mell. '!C139</f>
        <v>0</v>
      </c>
    </row>
    <row r="142" spans="1:8" ht="12" customHeight="1" thickBot="1" x14ac:dyDescent="0.3">
      <c r="A142" s="18" t="s">
        <v>24</v>
      </c>
      <c r="B142" s="439" t="s">
        <v>479</v>
      </c>
      <c r="C142" s="615">
        <v>35164932</v>
      </c>
      <c r="D142" s="588">
        <v>38167591</v>
      </c>
      <c r="E142" s="609">
        <f>+E143+E144+E145+E146</f>
        <v>35164932</v>
      </c>
      <c r="F142" s="610">
        <f>+F143+F144+F145+F146</f>
        <v>0</v>
      </c>
      <c r="G142" s="610">
        <f>+G143+G144+G145+G146</f>
        <v>0</v>
      </c>
      <c r="H142" s="441">
        <f>'1.1.sz.mell. '!C140</f>
        <v>41904332</v>
      </c>
    </row>
    <row r="143" spans="1:8" ht="12" customHeight="1" x14ac:dyDescent="0.25">
      <c r="A143" s="13" t="s">
        <v>91</v>
      </c>
      <c r="B143" s="473" t="s">
        <v>309</v>
      </c>
      <c r="C143" s="654"/>
      <c r="D143" s="611">
        <v>0</v>
      </c>
      <c r="E143" s="599"/>
      <c r="F143" s="599"/>
      <c r="G143" s="599"/>
      <c r="H143" s="437">
        <f>'1.1.sz.mell. '!C141</f>
        <v>0</v>
      </c>
    </row>
    <row r="144" spans="1:8" ht="12" customHeight="1" x14ac:dyDescent="0.25">
      <c r="A144" s="13" t="s">
        <v>92</v>
      </c>
      <c r="B144" s="473" t="s">
        <v>310</v>
      </c>
      <c r="C144" s="648">
        <v>35164932</v>
      </c>
      <c r="D144" s="656">
        <v>38167591</v>
      </c>
      <c r="E144" s="599">
        <f>35164932</f>
        <v>35164932</v>
      </c>
      <c r="F144" s="599"/>
      <c r="G144" s="599"/>
      <c r="H144" s="436">
        <f>'1.1.sz.mell. '!C142</f>
        <v>41904332</v>
      </c>
    </row>
    <row r="145" spans="1:8" ht="12" customHeight="1" x14ac:dyDescent="0.25">
      <c r="A145" s="13" t="s">
        <v>223</v>
      </c>
      <c r="B145" s="473" t="s">
        <v>480</v>
      </c>
      <c r="C145" s="654"/>
      <c r="D145" s="656">
        <v>0</v>
      </c>
      <c r="E145" s="599"/>
      <c r="F145" s="599"/>
      <c r="G145" s="599"/>
      <c r="H145" s="437">
        <f>'1.1.sz.mell. '!C143</f>
        <v>0</v>
      </c>
    </row>
    <row r="146" spans="1:8" ht="12" customHeight="1" thickBot="1" x14ac:dyDescent="0.3">
      <c r="A146" s="11" t="s">
        <v>224</v>
      </c>
      <c r="B146" s="474" t="s">
        <v>328</v>
      </c>
      <c r="C146" s="659"/>
      <c r="D146" s="657">
        <v>0</v>
      </c>
      <c r="E146" s="599"/>
      <c r="F146" s="599"/>
      <c r="G146" s="599"/>
      <c r="H146" s="440">
        <f>'1.1.sz.mell. '!C144</f>
        <v>0</v>
      </c>
    </row>
    <row r="147" spans="1:8" ht="12" customHeight="1" thickBot="1" x14ac:dyDescent="0.3">
      <c r="A147" s="18" t="s">
        <v>25</v>
      </c>
      <c r="B147" s="439" t="s">
        <v>481</v>
      </c>
      <c r="C147" s="620"/>
      <c r="D147" s="619">
        <v>0</v>
      </c>
      <c r="E147" s="660">
        <f>+E148+E149+E150+E151+E152</f>
        <v>0</v>
      </c>
      <c r="F147" s="661">
        <f>+F148+F149+F150+F151+F152</f>
        <v>0</v>
      </c>
      <c r="G147" s="661">
        <f>SUM(G148:G152)</f>
        <v>0</v>
      </c>
      <c r="H147" s="441">
        <f>'1.1.sz.mell. '!C145</f>
        <v>0</v>
      </c>
    </row>
    <row r="148" spans="1:8" ht="12" customHeight="1" x14ac:dyDescent="0.25">
      <c r="A148" s="13" t="s">
        <v>93</v>
      </c>
      <c r="B148" s="473" t="s">
        <v>482</v>
      </c>
      <c r="C148" s="654"/>
      <c r="D148" s="611">
        <v>0</v>
      </c>
      <c r="E148" s="599"/>
      <c r="F148" s="599"/>
      <c r="G148" s="599"/>
      <c r="H148" s="437">
        <f>'1.1.sz.mell. '!C146</f>
        <v>0</v>
      </c>
    </row>
    <row r="149" spans="1:8" ht="12" customHeight="1" x14ac:dyDescent="0.25">
      <c r="A149" s="13" t="s">
        <v>94</v>
      </c>
      <c r="B149" s="473" t="s">
        <v>483</v>
      </c>
      <c r="C149" s="648"/>
      <c r="D149" s="656">
        <v>0</v>
      </c>
      <c r="E149" s="599"/>
      <c r="F149" s="599"/>
      <c r="G149" s="599"/>
      <c r="H149" s="437">
        <f>'1.1.sz.mell. '!C147</f>
        <v>0</v>
      </c>
    </row>
    <row r="150" spans="1:8" ht="12" customHeight="1" x14ac:dyDescent="0.25">
      <c r="A150" s="13" t="s">
        <v>235</v>
      </c>
      <c r="B150" s="473" t="s">
        <v>484</v>
      </c>
      <c r="C150" s="654"/>
      <c r="D150" s="656">
        <v>0</v>
      </c>
      <c r="E150" s="599"/>
      <c r="F150" s="599"/>
      <c r="G150" s="599"/>
      <c r="H150" s="437">
        <f>'1.1.sz.mell. '!C148</f>
        <v>0</v>
      </c>
    </row>
    <row r="151" spans="1:8" ht="12" customHeight="1" x14ac:dyDescent="0.25">
      <c r="A151" s="13" t="s">
        <v>236</v>
      </c>
      <c r="B151" s="473" t="s">
        <v>485</v>
      </c>
      <c r="C151" s="654"/>
      <c r="D151" s="656">
        <v>0</v>
      </c>
      <c r="E151" s="599"/>
      <c r="F151" s="599"/>
      <c r="G151" s="599"/>
      <c r="H151" s="437">
        <f>'1.1.sz.mell. '!C149</f>
        <v>0</v>
      </c>
    </row>
    <row r="152" spans="1:8" ht="12" customHeight="1" thickBot="1" x14ac:dyDescent="0.3">
      <c r="A152" s="13" t="s">
        <v>486</v>
      </c>
      <c r="B152" s="473" t="s">
        <v>487</v>
      </c>
      <c r="C152" s="654"/>
      <c r="D152" s="657">
        <v>0</v>
      </c>
      <c r="E152" s="617"/>
      <c r="F152" s="617"/>
      <c r="G152" s="599"/>
      <c r="H152" s="440">
        <f>'1.1.sz.mell. '!C150</f>
        <v>0</v>
      </c>
    </row>
    <row r="153" spans="1:8" ht="12" customHeight="1" thickBot="1" x14ac:dyDescent="0.3">
      <c r="A153" s="18" t="s">
        <v>26</v>
      </c>
      <c r="B153" s="439" t="s">
        <v>488</v>
      </c>
      <c r="C153" s="620"/>
      <c r="D153" s="619">
        <v>0</v>
      </c>
      <c r="E153" s="660"/>
      <c r="F153" s="661"/>
      <c r="G153" s="662"/>
      <c r="H153" s="441">
        <f>'1.1.sz.mell. '!C151</f>
        <v>0</v>
      </c>
    </row>
    <row r="154" spans="1:8" ht="12" customHeight="1" thickBot="1" x14ac:dyDescent="0.3">
      <c r="A154" s="18" t="s">
        <v>27</v>
      </c>
      <c r="B154" s="439" t="s">
        <v>489</v>
      </c>
      <c r="C154" s="620"/>
      <c r="D154" s="619">
        <v>0</v>
      </c>
      <c r="E154" s="660"/>
      <c r="F154" s="661"/>
      <c r="G154" s="662"/>
      <c r="H154" s="441">
        <f>'1.1.sz.mell. '!C152</f>
        <v>0</v>
      </c>
    </row>
    <row r="155" spans="1:8" ht="15" customHeight="1" thickBot="1" x14ac:dyDescent="0.3">
      <c r="A155" s="18" t="s">
        <v>28</v>
      </c>
      <c r="B155" s="439" t="s">
        <v>490</v>
      </c>
      <c r="C155" s="615">
        <v>38324932</v>
      </c>
      <c r="D155" s="588">
        <v>146654295</v>
      </c>
      <c r="E155" s="663">
        <f>+E131+E135+E142+E147+E153+E154</f>
        <v>138325932</v>
      </c>
      <c r="F155" s="664">
        <f>+F131+F135+F142+F147+F153+F154</f>
        <v>0</v>
      </c>
      <c r="G155" s="664">
        <f>+G131+G135+G142+G147+G153+G154</f>
        <v>0</v>
      </c>
      <c r="H155" s="441">
        <f>'1.1.sz.mell. '!C153</f>
        <v>158856832</v>
      </c>
    </row>
    <row r="156" spans="1:8" s="282" customFormat="1" ht="12.95" customHeight="1" thickBot="1" x14ac:dyDescent="0.25">
      <c r="A156" s="120" t="s">
        <v>29</v>
      </c>
      <c r="B156" s="442" t="s">
        <v>491</v>
      </c>
      <c r="C156" s="615">
        <v>2553369668</v>
      </c>
      <c r="D156" s="588">
        <v>3394178423</v>
      </c>
      <c r="E156" s="663">
        <f>+E130+E155</f>
        <v>607614265</v>
      </c>
      <c r="F156" s="664">
        <f>+F130+F155</f>
        <v>225723850</v>
      </c>
      <c r="G156" s="664">
        <f>+G130+G155</f>
        <v>1397286981</v>
      </c>
      <c r="H156" s="441">
        <f>'1.1.sz.mell. '!C154</f>
        <v>4225542639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28. számú melléklet a 4/2020.(II.28.) önkormányzati rendelethez
Tájékoztató tábla</oddHeader>
  </headerFooter>
  <rowBreaks count="1" manualBreakCount="1">
    <brk id="73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view="pageLayout" topLeftCell="F1" zoomScaleNormal="100" workbookViewId="0">
      <selection activeCell="T13" sqref="T13"/>
    </sheetView>
  </sheetViews>
  <sheetFormatPr defaultRowHeight="15.75" x14ac:dyDescent="0.25"/>
  <cols>
    <col min="1" max="1" width="4.83203125" style="52" customWidth="1"/>
    <col min="2" max="2" width="31.1640625" style="62" customWidth="1"/>
    <col min="3" max="4" width="11.1640625" style="62" bestFit="1" customWidth="1"/>
    <col min="5" max="5" width="12.6640625" style="62" bestFit="1" customWidth="1"/>
    <col min="6" max="6" width="11.1640625" style="62" bestFit="1" customWidth="1"/>
    <col min="7" max="7" width="11.83203125" style="62" bestFit="1" customWidth="1"/>
    <col min="8" max="8" width="11.1640625" style="62" bestFit="1" customWidth="1"/>
    <col min="9" max="9" width="12.6640625" style="62" bestFit="1" customWidth="1"/>
    <col min="10" max="10" width="11.1640625" style="62" bestFit="1" customWidth="1"/>
    <col min="11" max="12" width="12.6640625" style="62" bestFit="1" customWidth="1"/>
    <col min="13" max="13" width="11.6640625" style="62" customWidth="1"/>
    <col min="14" max="14" width="11.83203125" style="62" bestFit="1" customWidth="1"/>
    <col min="15" max="15" width="12.6640625" style="502" customWidth="1"/>
    <col min="16" max="16" width="14.6640625" style="419" hidden="1" customWidth="1"/>
    <col min="17" max="17" width="16.6640625" style="419" hidden="1" customWidth="1"/>
    <col min="18" max="18" width="9.33203125" style="62" customWidth="1"/>
    <col min="19" max="16384" width="9.33203125" style="62"/>
  </cols>
  <sheetData>
    <row r="1" spans="1:17" ht="31.5" customHeight="1" x14ac:dyDescent="0.25">
      <c r="A1" s="1223" t="s">
        <v>611</v>
      </c>
      <c r="B1" s="1224"/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</row>
    <row r="2" spans="1:17" ht="16.5" thickBot="1" x14ac:dyDescent="0.3">
      <c r="O2" s="499" t="s">
        <v>553</v>
      </c>
    </row>
    <row r="3" spans="1:17" ht="35.25" customHeight="1" thickBot="1" x14ac:dyDescent="0.3">
      <c r="A3" s="375" t="s">
        <v>17</v>
      </c>
      <c r="B3" s="376" t="s">
        <v>63</v>
      </c>
      <c r="C3" s="376" t="s">
        <v>71</v>
      </c>
      <c r="D3" s="376" t="s">
        <v>72</v>
      </c>
      <c r="E3" s="376" t="s">
        <v>73</v>
      </c>
      <c r="F3" s="376" t="s">
        <v>74</v>
      </c>
      <c r="G3" s="376" t="s">
        <v>75</v>
      </c>
      <c r="H3" s="376" t="s">
        <v>76</v>
      </c>
      <c r="I3" s="376" t="s">
        <v>77</v>
      </c>
      <c r="J3" s="376" t="s">
        <v>78</v>
      </c>
      <c r="K3" s="376" t="s">
        <v>79</v>
      </c>
      <c r="L3" s="376" t="s">
        <v>80</v>
      </c>
      <c r="M3" s="376" t="s">
        <v>81</v>
      </c>
      <c r="N3" s="376" t="s">
        <v>82</v>
      </c>
      <c r="O3" s="377" t="s">
        <v>53</v>
      </c>
    </row>
    <row r="4" spans="1:17" s="54" customFormat="1" ht="15" customHeight="1" thickBot="1" x14ac:dyDescent="0.25">
      <c r="A4" s="53" t="s">
        <v>19</v>
      </c>
      <c r="B4" s="1225" t="s">
        <v>57</v>
      </c>
      <c r="C4" s="1226"/>
      <c r="D4" s="1226"/>
      <c r="E4" s="1226"/>
      <c r="F4" s="1226"/>
      <c r="G4" s="1226"/>
      <c r="H4" s="1226"/>
      <c r="I4" s="1226"/>
      <c r="J4" s="1226"/>
      <c r="K4" s="1226"/>
      <c r="L4" s="1226"/>
      <c r="M4" s="1226"/>
      <c r="N4" s="1226"/>
      <c r="O4" s="1227"/>
      <c r="P4" s="420"/>
      <c r="Q4" s="420"/>
    </row>
    <row r="5" spans="1:17" s="54" customFormat="1" ht="22.5" x14ac:dyDescent="0.2">
      <c r="A5" s="55" t="s">
        <v>20</v>
      </c>
      <c r="B5" s="240" t="s">
        <v>312</v>
      </c>
      <c r="C5" s="268">
        <f>60000000+8000000</f>
        <v>68000000</v>
      </c>
      <c r="D5" s="268">
        <f>116990000+8000000-13000000</f>
        <v>111990000</v>
      </c>
      <c r="E5" s="268">
        <f>116990000+8000000-13000000</f>
        <v>111990000</v>
      </c>
      <c r="F5" s="268">
        <f>116990000+8000000-2000000-13000000</f>
        <v>109990000</v>
      </c>
      <c r="G5" s="268">
        <f>116990000+8000000-2000000-13000000</f>
        <v>109990000</v>
      </c>
      <c r="H5" s="268">
        <f>120000000+8000000-1000000+1404000-686510-13000000</f>
        <v>114717490</v>
      </c>
      <c r="I5" s="268">
        <f>120000000+8000000-1000000+9625137+3000000-13000000</f>
        <v>126625137</v>
      </c>
      <c r="J5" s="268">
        <f>125000000+8451187-500000-13000000</f>
        <v>119951187</v>
      </c>
      <c r="K5" s="268">
        <f>116990000+8000000-500000+350000-13000000</f>
        <v>111840000</v>
      </c>
      <c r="L5" s="268">
        <f>116990000+8000000-1570877-13000000</f>
        <v>110419123</v>
      </c>
      <c r="M5" s="268">
        <f>116990000+8000000-600335-13000000</f>
        <v>111389665</v>
      </c>
      <c r="N5" s="268">
        <f>130000000-12767537</f>
        <v>117232463</v>
      </c>
      <c r="O5" s="1076">
        <f t="shared" ref="O5:O13" si="0">SUM(C5:N5)</f>
        <v>1324135065</v>
      </c>
      <c r="P5" s="421">
        <f>'1.1.sz.mell. '!C5</f>
        <v>1324135065</v>
      </c>
      <c r="Q5" s="422">
        <f t="shared" ref="Q5:Q26" si="1">O5-P5</f>
        <v>0</v>
      </c>
    </row>
    <row r="6" spans="1:17" s="58" customFormat="1" ht="22.5" x14ac:dyDescent="0.2">
      <c r="A6" s="56" t="s">
        <v>21</v>
      </c>
      <c r="B6" s="115" t="s">
        <v>356</v>
      </c>
      <c r="C6" s="246"/>
      <c r="D6" s="246">
        <v>50000000</v>
      </c>
      <c r="E6" s="246">
        <v>500000</v>
      </c>
      <c r="F6" s="246">
        <f>50000000+2885193-12000000</f>
        <v>40885193</v>
      </c>
      <c r="G6" s="246">
        <f>2824075+6246596+1659858+1398150</f>
        <v>12128679</v>
      </c>
      <c r="H6" s="246"/>
      <c r="I6" s="246">
        <f>50000000+5441280</f>
        <v>55441280</v>
      </c>
      <c r="J6" s="246">
        <f>123766902</f>
        <v>123766902</v>
      </c>
      <c r="K6" s="246">
        <f>50000000+4266396+10800000+2021904+3997695-11923937</f>
        <v>59162058</v>
      </c>
      <c r="L6" s="246">
        <f>539500+106479</f>
        <v>645979</v>
      </c>
      <c r="M6" s="246">
        <f>25441256-29680+5021878</f>
        <v>30433454</v>
      </c>
      <c r="N6" s="246"/>
      <c r="O6" s="1076">
        <f t="shared" si="0"/>
        <v>372963545</v>
      </c>
      <c r="P6" s="424">
        <f>'1.1.sz.mell. '!C12</f>
        <v>372963545</v>
      </c>
      <c r="Q6" s="425">
        <f t="shared" si="1"/>
        <v>0</v>
      </c>
    </row>
    <row r="7" spans="1:17" s="58" customFormat="1" ht="22.5" x14ac:dyDescent="0.2">
      <c r="A7" s="56" t="s">
        <v>22</v>
      </c>
      <c r="B7" s="114" t="s">
        <v>357</v>
      </c>
      <c r="C7" s="247"/>
      <c r="D7" s="247">
        <v>12000000</v>
      </c>
      <c r="E7" s="247"/>
      <c r="F7" s="247"/>
      <c r="G7" s="247">
        <v>30000000</v>
      </c>
      <c r="H7" s="247"/>
      <c r="I7" s="247"/>
      <c r="J7" s="247">
        <v>384485538</v>
      </c>
      <c r="K7" s="247">
        <f>40000000+30000000+500000000-10800000-2021904</f>
        <v>557178096</v>
      </c>
      <c r="L7" s="247"/>
      <c r="M7" s="247">
        <f>30409566+139000</f>
        <v>30548566</v>
      </c>
      <c r="N7" s="247">
        <f>22875000+41182950</f>
        <v>64057950</v>
      </c>
      <c r="O7" s="1076">
        <f t="shared" si="0"/>
        <v>1078270150</v>
      </c>
      <c r="P7" s="424">
        <f>'1.1.sz.mell. '!C19</f>
        <v>1078270150</v>
      </c>
      <c r="Q7" s="425">
        <f t="shared" si="1"/>
        <v>0</v>
      </c>
    </row>
    <row r="8" spans="1:17" s="58" customFormat="1" ht="14.1" customHeight="1" x14ac:dyDescent="0.2">
      <c r="A8" s="56" t="s">
        <v>23</v>
      </c>
      <c r="B8" s="113" t="s">
        <v>135</v>
      </c>
      <c r="C8" s="246">
        <v>3000000</v>
      </c>
      <c r="D8" s="246">
        <v>5000000</v>
      </c>
      <c r="E8" s="246">
        <v>201600000</v>
      </c>
      <c r="F8" s="246">
        <v>5000000</v>
      </c>
      <c r="G8" s="246">
        <v>5000000</v>
      </c>
      <c r="H8" s="246">
        <f>5000000+200000</f>
        <v>5200000</v>
      </c>
      <c r="I8" s="246">
        <f>5000000+400000</f>
        <v>5400000</v>
      </c>
      <c r="J8" s="246">
        <f>5000000+400000</f>
        <v>5400000</v>
      </c>
      <c r="K8" s="246">
        <v>201600000</v>
      </c>
      <c r="L8" s="246">
        <v>5000000</v>
      </c>
      <c r="M8" s="246">
        <v>5000000</v>
      </c>
      <c r="N8" s="246">
        <v>35300000</v>
      </c>
      <c r="O8" s="423">
        <f t="shared" si="0"/>
        <v>482500000</v>
      </c>
      <c r="P8" s="424">
        <f>'1.1.sz.mell. '!C26</f>
        <v>482500000</v>
      </c>
      <c r="Q8" s="425">
        <f t="shared" si="1"/>
        <v>0</v>
      </c>
    </row>
    <row r="9" spans="1:17" s="58" customFormat="1" ht="14.1" customHeight="1" x14ac:dyDescent="0.2">
      <c r="A9" s="56" t="s">
        <v>24</v>
      </c>
      <c r="B9" s="113" t="s">
        <v>358</v>
      </c>
      <c r="C9" s="246">
        <v>25000000</v>
      </c>
      <c r="D9" s="246">
        <f>28000000-1300000</f>
        <v>26700000</v>
      </c>
      <c r="E9" s="246">
        <f>30000000+2935064+1624450-1300000</f>
        <v>33259514</v>
      </c>
      <c r="F9" s="246">
        <f>29000000+129530+1624450-1300000</f>
        <v>29453980</v>
      </c>
      <c r="G9" s="246">
        <f>30000000+1624450-1300000</f>
        <v>30324450</v>
      </c>
      <c r="H9" s="246">
        <f>31000000+1624450+153340-1300000</f>
        <v>31477790</v>
      </c>
      <c r="I9" s="246">
        <f>28000000+1624450+245015-1300000</f>
        <v>28569465</v>
      </c>
      <c r="J9" s="246">
        <f>27000000+1624450+245015+1090002-144667-1300000</f>
        <v>28514800</v>
      </c>
      <c r="K9" s="246">
        <f>25000000+1624450+245015+214500-1300000</f>
        <v>25783965</v>
      </c>
      <c r="L9" s="246">
        <f>25000000+1624450+245015+214500-1300000</f>
        <v>25783965</v>
      </c>
      <c r="M9" s="246">
        <f>30000000+4594921+245015+214500+15867874+132900-1300000</f>
        <v>49755210</v>
      </c>
      <c r="N9" s="246">
        <f>26003657+1625205+245013+214500+98770-1300000-1071000</f>
        <v>25816145</v>
      </c>
      <c r="O9" s="1076">
        <f t="shared" si="0"/>
        <v>360439284</v>
      </c>
      <c r="P9" s="424">
        <f>'1.1.sz.mell. '!C34</f>
        <v>360439284</v>
      </c>
      <c r="Q9" s="425">
        <f t="shared" si="1"/>
        <v>0</v>
      </c>
    </row>
    <row r="10" spans="1:17" s="58" customFormat="1" ht="14.1" customHeight="1" x14ac:dyDescent="0.2">
      <c r="A10" s="56" t="s">
        <v>25</v>
      </c>
      <c r="B10" s="113" t="s">
        <v>11</v>
      </c>
      <c r="C10" s="246"/>
      <c r="D10" s="246">
        <v>1000000</v>
      </c>
      <c r="E10" s="246"/>
      <c r="F10" s="246">
        <v>5000000</v>
      </c>
      <c r="G10" s="246"/>
      <c r="H10" s="246">
        <v>1000000</v>
      </c>
      <c r="I10" s="246"/>
      <c r="J10" s="246">
        <f>4000000+145100</f>
        <v>4145100</v>
      </c>
      <c r="K10" s="246">
        <v>5000000</v>
      </c>
      <c r="L10" s="246">
        <v>3000000</v>
      </c>
      <c r="M10" s="246"/>
      <c r="N10" s="246">
        <v>3087500</v>
      </c>
      <c r="O10" s="423">
        <f t="shared" si="0"/>
        <v>22232600</v>
      </c>
      <c r="P10" s="424">
        <f>'1.1.sz.mell. '!C46</f>
        <v>22232600</v>
      </c>
      <c r="Q10" s="425">
        <f t="shared" si="1"/>
        <v>0</v>
      </c>
    </row>
    <row r="11" spans="1:17" s="58" customFormat="1" ht="14.1" customHeight="1" x14ac:dyDescent="0.2">
      <c r="A11" s="56" t="s">
        <v>26</v>
      </c>
      <c r="B11" s="113" t="s">
        <v>314</v>
      </c>
      <c r="C11" s="246">
        <v>120000</v>
      </c>
      <c r="D11" s="246">
        <v>120000</v>
      </c>
      <c r="E11" s="246">
        <f>120000+752700</f>
        <v>872700</v>
      </c>
      <c r="F11" s="246">
        <v>120000</v>
      </c>
      <c r="G11" s="246">
        <v>120000</v>
      </c>
      <c r="H11" s="246">
        <v>120000</v>
      </c>
      <c r="I11" s="246">
        <f>120000+130000</f>
        <v>250000</v>
      </c>
      <c r="J11" s="246">
        <v>120000</v>
      </c>
      <c r="K11" s="246">
        <f>120000+400000</f>
        <v>520000</v>
      </c>
      <c r="L11" s="246">
        <v>120000</v>
      </c>
      <c r="M11" s="246">
        <f>120000+80000</f>
        <v>200000</v>
      </c>
      <c r="N11" s="246">
        <v>110000</v>
      </c>
      <c r="O11" s="423">
        <f t="shared" si="0"/>
        <v>2792700</v>
      </c>
      <c r="P11" s="424">
        <f>'1.1.sz.mell. '!C52</f>
        <v>2792700</v>
      </c>
      <c r="Q11" s="425">
        <f t="shared" si="1"/>
        <v>0</v>
      </c>
    </row>
    <row r="12" spans="1:17" s="58" customFormat="1" ht="22.5" x14ac:dyDescent="0.2">
      <c r="A12" s="56" t="s">
        <v>27</v>
      </c>
      <c r="B12" s="115" t="s">
        <v>344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423">
        <f t="shared" si="0"/>
        <v>0</v>
      </c>
      <c r="P12" s="424">
        <f>'1.1.sz.mell. '!C57</f>
        <v>0</v>
      </c>
      <c r="Q12" s="425">
        <f t="shared" si="1"/>
        <v>0</v>
      </c>
    </row>
    <row r="13" spans="1:17" s="58" customFormat="1" ht="14.1" customHeight="1" thickBot="1" x14ac:dyDescent="0.25">
      <c r="A13" s="56" t="s">
        <v>28</v>
      </c>
      <c r="B13" s="113" t="s">
        <v>12</v>
      </c>
      <c r="C13" s="57">
        <f>374667600+1269106+2600335</f>
        <v>378537041</v>
      </c>
      <c r="D13" s="57">
        <v>10000000</v>
      </c>
      <c r="E13" s="57">
        <v>35000000</v>
      </c>
      <c r="F13" s="57">
        <v>10000000</v>
      </c>
      <c r="G13" s="57">
        <v>10000000</v>
      </c>
      <c r="H13" s="57">
        <v>33000000</v>
      </c>
      <c r="I13" s="57">
        <v>10000000</v>
      </c>
      <c r="J13" s="57">
        <v>10000000</v>
      </c>
      <c r="K13" s="57">
        <v>10000000</v>
      </c>
      <c r="L13" s="57">
        <v>10000000</v>
      </c>
      <c r="M13" s="57">
        <v>10000000</v>
      </c>
      <c r="N13" s="57">
        <f>10000000+45672254</f>
        <v>55672254</v>
      </c>
      <c r="O13" s="1076">
        <f t="shared" si="0"/>
        <v>582209295</v>
      </c>
      <c r="P13" s="426">
        <f>'1.1.sz.mell. '!C86</f>
        <v>582209295</v>
      </c>
      <c r="Q13" s="427">
        <f t="shared" si="1"/>
        <v>0</v>
      </c>
    </row>
    <row r="14" spans="1:17" s="54" customFormat="1" ht="15.95" customHeight="1" thickBot="1" x14ac:dyDescent="0.25">
      <c r="A14" s="53" t="s">
        <v>29</v>
      </c>
      <c r="B14" s="31" t="s">
        <v>106</v>
      </c>
      <c r="C14" s="59">
        <f t="shared" ref="C14:N14" si="2">SUM(C5:C13)</f>
        <v>474657041</v>
      </c>
      <c r="D14" s="59">
        <f t="shared" si="2"/>
        <v>216810000</v>
      </c>
      <c r="E14" s="59">
        <f t="shared" si="2"/>
        <v>383222214</v>
      </c>
      <c r="F14" s="59">
        <f t="shared" si="2"/>
        <v>200449173</v>
      </c>
      <c r="G14" s="59">
        <f t="shared" si="2"/>
        <v>197563129</v>
      </c>
      <c r="H14" s="59">
        <f t="shared" si="2"/>
        <v>185515280</v>
      </c>
      <c r="I14" s="59">
        <f t="shared" si="2"/>
        <v>226285882</v>
      </c>
      <c r="J14" s="59">
        <f t="shared" si="2"/>
        <v>676383527</v>
      </c>
      <c r="K14" s="59">
        <f t="shared" si="2"/>
        <v>971084119</v>
      </c>
      <c r="L14" s="59">
        <f t="shared" si="2"/>
        <v>154969067</v>
      </c>
      <c r="M14" s="59">
        <f t="shared" si="2"/>
        <v>237326895</v>
      </c>
      <c r="N14" s="59">
        <f t="shared" si="2"/>
        <v>301276312</v>
      </c>
      <c r="O14" s="500">
        <f>SUM(C14:N14)</f>
        <v>4225542639</v>
      </c>
      <c r="P14" s="428">
        <f>SUM(P5:P13)</f>
        <v>4225542639</v>
      </c>
      <c r="Q14" s="429">
        <f t="shared" si="1"/>
        <v>0</v>
      </c>
    </row>
    <row r="15" spans="1:17" s="54" customFormat="1" ht="15" customHeight="1" thickBot="1" x14ac:dyDescent="0.25">
      <c r="A15" s="53" t="s">
        <v>30</v>
      </c>
      <c r="B15" s="1225" t="s">
        <v>58</v>
      </c>
      <c r="C15" s="1226"/>
      <c r="D15" s="1226"/>
      <c r="E15" s="1226"/>
      <c r="F15" s="1226"/>
      <c r="G15" s="1226"/>
      <c r="H15" s="1226"/>
      <c r="I15" s="1226"/>
      <c r="J15" s="1226"/>
      <c r="K15" s="1226"/>
      <c r="L15" s="1226"/>
      <c r="M15" s="1226"/>
      <c r="N15" s="1226"/>
      <c r="O15" s="1227"/>
      <c r="P15" s="420"/>
      <c r="Q15" s="430">
        <f t="shared" si="1"/>
        <v>0</v>
      </c>
    </row>
    <row r="16" spans="1:17" s="58" customFormat="1" ht="14.1" customHeight="1" x14ac:dyDescent="0.2">
      <c r="A16" s="431" t="s">
        <v>31</v>
      </c>
      <c r="B16" s="432" t="s">
        <v>64</v>
      </c>
      <c r="C16" s="433">
        <v>87210315</v>
      </c>
      <c r="D16" s="433">
        <v>88000000</v>
      </c>
      <c r="E16" s="433">
        <f>88000000+316325</f>
        <v>88316325</v>
      </c>
      <c r="F16" s="433">
        <f>88000000+316325</f>
        <v>88316325</v>
      </c>
      <c r="G16" s="433">
        <f>88000000+2081772+316325+353650</f>
        <v>90751747</v>
      </c>
      <c r="H16" s="433">
        <f>88000000+316325+353650+715183</f>
        <v>89385158</v>
      </c>
      <c r="I16" s="433">
        <f>88000000+316325+353650+715183+195000+751432</f>
        <v>90331590</v>
      </c>
      <c r="J16" s="433">
        <f>88000000+316325+353650+715183+195000+751432+12466542-5000000</f>
        <v>97798132</v>
      </c>
      <c r="K16" s="433">
        <f>88000000+316325+353650+715183+195000+751432+12466542-2000000-4800000</f>
        <v>95998132</v>
      </c>
      <c r="L16" s="433">
        <f>88000000+316325+353650+110000+715183+195000+751432+12466541+259427+2832000-2000000-4700000</f>
        <v>99299558</v>
      </c>
      <c r="M16" s="433">
        <f>88000000+316325+353650+715183+195000+751432+12466541-2000000+201180-5000000</f>
        <v>95999311</v>
      </c>
      <c r="N16" s="433">
        <f>88000000+383890+353621+715186+195000+751433+12466542-605014+421162-4016235</f>
        <v>98665585</v>
      </c>
      <c r="O16" s="1076">
        <f t="shared" ref="O16:O26" si="3">SUM(C16:N16)</f>
        <v>1110072178</v>
      </c>
      <c r="P16" s="506">
        <f>'1.1.sz.mell. '!C94</f>
        <v>1110072178</v>
      </c>
      <c r="Q16" s="422">
        <f t="shared" si="1"/>
        <v>0</v>
      </c>
    </row>
    <row r="17" spans="1:17" s="58" customFormat="1" ht="27" customHeight="1" x14ac:dyDescent="0.2">
      <c r="A17" s="56" t="s">
        <v>32</v>
      </c>
      <c r="B17" s="115" t="s">
        <v>144</v>
      </c>
      <c r="C17" s="246">
        <v>18172200</v>
      </c>
      <c r="D17" s="246">
        <v>18336560</v>
      </c>
      <c r="E17" s="246">
        <f>18336560+64000</f>
        <v>18400560</v>
      </c>
      <c r="F17" s="246">
        <f>18336560+63000</f>
        <v>18399560</v>
      </c>
      <c r="G17" s="246">
        <f>18336560+436333+63000+68950</f>
        <v>18904843</v>
      </c>
      <c r="H17" s="246">
        <f>18336560+63000+68950+139461</f>
        <v>18607971</v>
      </c>
      <c r="I17" s="246">
        <f>18336560+63000+68950+139461+38025+287075</f>
        <v>18933071</v>
      </c>
      <c r="J17" s="246">
        <f>18336560+63000+68950+139462+38025+287075+3107328-1416520-970000</f>
        <v>19653880</v>
      </c>
      <c r="K17" s="246">
        <f>18336560+63000+68950+139461+38025+287075+3107328-1416520-540000-970000</f>
        <v>19113879</v>
      </c>
      <c r="L17" s="246">
        <f>18336560+63000+68950+44781+139461+38025+287075+3107328-1416521+529180+529-540000-970000</f>
        <v>19688368</v>
      </c>
      <c r="M17" s="246">
        <f>18336560+63000+68950+139461+38025+287075+3107329-1416521-540000+365404-970000</f>
        <v>19479283</v>
      </c>
      <c r="N17" s="246">
        <f>18336560+63277+68950+89+139461+38025+287074+3107328-1416521-282306+107194-976802</f>
        <v>19472329</v>
      </c>
      <c r="O17" s="1076">
        <f t="shared" si="3"/>
        <v>227162504</v>
      </c>
      <c r="P17" s="424">
        <f>'1.1.sz.mell. '!C95</f>
        <v>227162504</v>
      </c>
      <c r="Q17" s="425">
        <f t="shared" si="1"/>
        <v>0</v>
      </c>
    </row>
    <row r="18" spans="1:17" s="58" customFormat="1" ht="14.1" customHeight="1" x14ac:dyDescent="0.2">
      <c r="A18" s="56" t="s">
        <v>33</v>
      </c>
      <c r="B18" s="113" t="s">
        <v>120</v>
      </c>
      <c r="C18" s="246">
        <v>79000000</v>
      </c>
      <c r="D18" s="246">
        <f>78000000-4800000</f>
        <v>73200000</v>
      </c>
      <c r="E18" s="246">
        <f>77000000+91201-4800000</f>
        <v>72291201</v>
      </c>
      <c r="F18" s="246">
        <f>76000000+400000-92469-4800000</f>
        <v>71507531</v>
      </c>
      <c r="G18" s="246">
        <f>75000000+1500000-4800000</f>
        <v>71700000</v>
      </c>
      <c r="H18" s="246">
        <f>71000000+367088+1000000+1000000-4800000</f>
        <v>68567088</v>
      </c>
      <c r="I18" s="246">
        <f>72000000+1500000+369551+10050868-4800000</f>
        <v>79120419</v>
      </c>
      <c r="J18" s="246">
        <f>71500000+1500000+3444300-3000000+369551+10050868+10000000-4800000</f>
        <v>89064719</v>
      </c>
      <c r="K18" s="246">
        <f>75000000+2000000-3000000+369551+10050868+13353056-6081571+3865141-4800000</f>
        <v>90757045</v>
      </c>
      <c r="L18" s="246">
        <f>76000000+1500000+2444319+369551+10050868-6081570+2203586+3865141-4800000</f>
        <v>85551895</v>
      </c>
      <c r="M18" s="246">
        <f>77000000+4063544+2000000-1393166+369551+10050868-6081571+3865141+1256258-4800000</f>
        <v>86330625</v>
      </c>
      <c r="N18" s="246">
        <f>78000000+1362039+2221560+369551+10050868-6081571+3865141+2631359-4930592-4000000</f>
        <v>83488355</v>
      </c>
      <c r="O18" s="1076">
        <f t="shared" si="3"/>
        <v>950578878</v>
      </c>
      <c r="P18" s="424">
        <f>'1.1.sz.mell. '!C96</f>
        <v>950578878</v>
      </c>
      <c r="Q18" s="425">
        <f t="shared" si="1"/>
        <v>0</v>
      </c>
    </row>
    <row r="19" spans="1:17" s="58" customFormat="1" ht="14.1" customHeight="1" x14ac:dyDescent="0.2">
      <c r="A19" s="56" t="s">
        <v>34</v>
      </c>
      <c r="B19" s="113" t="s">
        <v>145</v>
      </c>
      <c r="C19" s="246">
        <v>3000000</v>
      </c>
      <c r="D19" s="246">
        <v>4000000</v>
      </c>
      <c r="E19" s="246">
        <v>3200000</v>
      </c>
      <c r="F19" s="246">
        <v>3000000</v>
      </c>
      <c r="G19" s="246">
        <f>3400000-2000000</f>
        <v>1400000</v>
      </c>
      <c r="H19" s="246">
        <f>3500000</f>
        <v>3500000</v>
      </c>
      <c r="I19" s="246">
        <f>3500000</f>
        <v>3500000</v>
      </c>
      <c r="J19" s="246">
        <f>12000000+1000000-5000000-5150000</f>
        <v>2850000</v>
      </c>
      <c r="K19" s="246">
        <f>3650000</f>
        <v>3650000</v>
      </c>
      <c r="L19" s="246">
        <v>3400000</v>
      </c>
      <c r="M19" s="246">
        <f>12000000+1200000-2100000</f>
        <v>11100000</v>
      </c>
      <c r="N19" s="246">
        <f>19000000-10000000</f>
        <v>9000000</v>
      </c>
      <c r="O19" s="1095">
        <f t="shared" si="3"/>
        <v>51600000</v>
      </c>
      <c r="P19" s="424">
        <f>'1.1.sz.mell. '!C97</f>
        <v>51600000</v>
      </c>
      <c r="Q19" s="425">
        <f t="shared" si="1"/>
        <v>0</v>
      </c>
    </row>
    <row r="20" spans="1:17" s="58" customFormat="1" ht="14.1" customHeight="1" x14ac:dyDescent="0.2">
      <c r="A20" s="56" t="s">
        <v>35</v>
      </c>
      <c r="B20" s="113" t="s">
        <v>146</v>
      </c>
      <c r="C20" s="246">
        <v>12000000</v>
      </c>
      <c r="D20" s="246">
        <v>12000000</v>
      </c>
      <c r="E20" s="246">
        <f>40000000+67500</f>
        <v>40067500</v>
      </c>
      <c r="F20" s="246">
        <v>15000000</v>
      </c>
      <c r="G20" s="246">
        <f>15000000+1338067</f>
        <v>16338067</v>
      </c>
      <c r="H20" s="246">
        <f>15000000+580000</f>
        <v>15580000</v>
      </c>
      <c r="I20" s="246">
        <f>40000000-4132000+9625137+1720406</f>
        <v>47213543</v>
      </c>
      <c r="J20" s="246">
        <f>15000000-4020997+1720406</f>
        <v>12699409</v>
      </c>
      <c r="K20" s="246">
        <f>15000000+1720406</f>
        <v>16720406</v>
      </c>
      <c r="L20" s="246">
        <f>15000000+1720406+15000000</f>
        <v>31720406</v>
      </c>
      <c r="M20" s="246">
        <f>15000000+1720406+1755621</f>
        <v>18476027</v>
      </c>
      <c r="N20" s="246">
        <f>15000000+1720404+4000000+4000000</f>
        <v>24720404</v>
      </c>
      <c r="O20" s="1076">
        <f t="shared" si="3"/>
        <v>262535762</v>
      </c>
      <c r="P20" s="424">
        <f>'1.1.sz.mell. '!C98</f>
        <v>262535762</v>
      </c>
      <c r="Q20" s="425">
        <f t="shared" si="1"/>
        <v>0</v>
      </c>
    </row>
    <row r="21" spans="1:17" s="58" customFormat="1" ht="14.1" customHeight="1" x14ac:dyDescent="0.2">
      <c r="A21" s="56" t="s">
        <v>36</v>
      </c>
      <c r="B21" s="113" t="s">
        <v>163</v>
      </c>
      <c r="C21" s="246"/>
      <c r="D21" s="246">
        <v>5000000</v>
      </c>
      <c r="E21" s="246">
        <v>6900000</v>
      </c>
      <c r="F21" s="246">
        <v>23600000</v>
      </c>
      <c r="G21" s="246">
        <f>12500000+30000000</f>
        <v>42500000</v>
      </c>
      <c r="H21" s="246">
        <v>6200000</v>
      </c>
      <c r="I21" s="246">
        <f>200000000+6600000+1223250</f>
        <v>207823250</v>
      </c>
      <c r="J21" s="246">
        <f>6800000+1654000+25000000-10000000</f>
        <v>23454000</v>
      </c>
      <c r="K21" s="246">
        <f>7000000+30000000+7815116+25000000-13353056</f>
        <v>56462060</v>
      </c>
      <c r="L21" s="246">
        <f>6800000+25000000+100000000</f>
        <v>131800000</v>
      </c>
      <c r="M21" s="246">
        <f>6800000+25000000+364966+1670584</f>
        <v>33835550</v>
      </c>
      <c r="N21" s="246">
        <f>6733751+22307980+187441270+113461550+5057620-900000</f>
        <v>334102171</v>
      </c>
      <c r="O21" s="1076">
        <f t="shared" si="3"/>
        <v>871677031</v>
      </c>
      <c r="P21" s="424">
        <f>'1.1.sz.mell. '!C115</f>
        <v>871677031</v>
      </c>
      <c r="Q21" s="425">
        <f t="shared" si="1"/>
        <v>0</v>
      </c>
    </row>
    <row r="22" spans="1:17" s="58" customFormat="1" x14ac:dyDescent="0.2">
      <c r="A22" s="56" t="s">
        <v>37</v>
      </c>
      <c r="B22" s="115" t="s">
        <v>148</v>
      </c>
      <c r="C22" s="246"/>
      <c r="D22" s="246">
        <v>3163501</v>
      </c>
      <c r="E22" s="246">
        <v>20000000</v>
      </c>
      <c r="F22" s="246">
        <v>40000000</v>
      </c>
      <c r="G22" s="246">
        <v>5000000</v>
      </c>
      <c r="H22" s="246">
        <f>5500000-75600</f>
        <v>5424400</v>
      </c>
      <c r="I22" s="246">
        <v>5300000</v>
      </c>
      <c r="J22" s="246">
        <f>5250000+7941316</f>
        <v>13191316</v>
      </c>
      <c r="K22" s="246">
        <f>4900000+7941316</f>
        <v>12841316</v>
      </c>
      <c r="L22" s="246">
        <f>5100000+7941316+100000000</f>
        <v>113041316</v>
      </c>
      <c r="M22" s="246">
        <f>5100000+7941317+88900</f>
        <v>13130217</v>
      </c>
      <c r="N22" s="246">
        <f>7000000+50000000+215941060-1182500</f>
        <v>271758560</v>
      </c>
      <c r="O22" s="1076">
        <f t="shared" si="3"/>
        <v>502850626</v>
      </c>
      <c r="P22" s="424">
        <f>'1.1.sz.mell. '!C117</f>
        <v>502850626</v>
      </c>
      <c r="Q22" s="425">
        <f t="shared" si="1"/>
        <v>0</v>
      </c>
    </row>
    <row r="23" spans="1:17" s="58" customFormat="1" ht="14.1" customHeight="1" x14ac:dyDescent="0.2">
      <c r="A23" s="56" t="s">
        <v>38</v>
      </c>
      <c r="B23" s="113" t="s">
        <v>165</v>
      </c>
      <c r="C23" s="246"/>
      <c r="D23" s="246">
        <v>650000</v>
      </c>
      <c r="E23" s="246"/>
      <c r="F23" s="246"/>
      <c r="G23" s="246"/>
      <c r="H23" s="246">
        <v>22000000</v>
      </c>
      <c r="I23" s="246"/>
      <c r="J23" s="246">
        <v>308980</v>
      </c>
      <c r="K23" s="246"/>
      <c r="L23" s="246"/>
      <c r="M23" s="246">
        <v>4269106</v>
      </c>
      <c r="N23" s="246"/>
      <c r="O23" s="423">
        <f t="shared" si="3"/>
        <v>27228086</v>
      </c>
      <c r="P23" s="424">
        <f>'1.1.sz.mell. '!C119</f>
        <v>27228086</v>
      </c>
      <c r="Q23" s="425">
        <f t="shared" si="1"/>
        <v>0</v>
      </c>
    </row>
    <row r="24" spans="1:17" s="58" customFormat="1" ht="14.1" customHeight="1" x14ac:dyDescent="0.2">
      <c r="A24" s="56" t="s">
        <v>39</v>
      </c>
      <c r="B24" s="113" t="s">
        <v>50</v>
      </c>
      <c r="C24" s="246"/>
      <c r="D24" s="246"/>
      <c r="E24" s="246">
        <f>2000000+2935064-91201-1000000</f>
        <v>3843863</v>
      </c>
      <c r="F24" s="246">
        <f>5000000+131495-467500-941960-500000</f>
        <v>3222035</v>
      </c>
      <c r="G24" s="246">
        <f>8600000-23900-1500000-2000000</f>
        <v>5076100</v>
      </c>
      <c r="H24" s="246">
        <f>8900000-580000+250000-1000000-1115664-1000000</f>
        <v>5454336</v>
      </c>
      <c r="I24" s="246">
        <f>9100000+250000-656980-2000000-1500000</f>
        <v>5193020</v>
      </c>
      <c r="J24" s="246">
        <f>8650000+250000-3444300-1000000-1000000-500000</f>
        <v>2955700</v>
      </c>
      <c r="K24" s="246">
        <f>8700000+250000-1000000-2000000+12101049-2000000-4000000-4000000</f>
        <v>8051049</v>
      </c>
      <c r="L24" s="246">
        <f>8900000+250000-110000-44781-1000000-670064+12101049-2253677-2000000-5000000</f>
        <v>10172527</v>
      </c>
      <c r="M24" s="246">
        <f>9200000+500000-2444319+12101049-2000000-2000000-5000000</f>
        <v>10356730</v>
      </c>
      <c r="N24" s="246">
        <f>9340965+423731+12101048-432757-6097120-4761209-5919276+4000000</f>
        <v>8655382</v>
      </c>
      <c r="O24" s="1076">
        <f t="shared" si="3"/>
        <v>62980742</v>
      </c>
      <c r="P24" s="424">
        <f>'1.1.sz.mell. '!C111</f>
        <v>62980742</v>
      </c>
      <c r="Q24" s="425">
        <f t="shared" si="1"/>
        <v>0</v>
      </c>
    </row>
    <row r="25" spans="1:17" s="58" customFormat="1" ht="14.1" customHeight="1" thickBot="1" x14ac:dyDescent="0.25">
      <c r="A25" s="56" t="s">
        <v>40</v>
      </c>
      <c r="B25" s="113" t="s">
        <v>13</v>
      </c>
      <c r="C25" s="57">
        <v>41904332</v>
      </c>
      <c r="D25" s="57"/>
      <c r="E25" s="57">
        <v>21500000</v>
      </c>
      <c r="F25" s="246"/>
      <c r="G25" s="57"/>
      <c r="H25" s="246">
        <v>22000000</v>
      </c>
      <c r="I25" s="246"/>
      <c r="J25" s="246"/>
      <c r="K25" s="246">
        <v>20000000</v>
      </c>
      <c r="L25" s="246">
        <v>30000000</v>
      </c>
      <c r="M25" s="246"/>
      <c r="N25" s="246">
        <v>23452500</v>
      </c>
      <c r="O25" s="423">
        <f t="shared" si="3"/>
        <v>158856832</v>
      </c>
      <c r="P25" s="426">
        <f>'1.1.sz.mell. '!C153</f>
        <v>158856832</v>
      </c>
      <c r="Q25" s="427">
        <f t="shared" si="1"/>
        <v>0</v>
      </c>
    </row>
    <row r="26" spans="1:17" s="54" customFormat="1" ht="15.95" customHeight="1" thickBot="1" x14ac:dyDescent="0.25">
      <c r="A26" s="60" t="s">
        <v>41</v>
      </c>
      <c r="B26" s="31" t="s">
        <v>107</v>
      </c>
      <c r="C26" s="59">
        <f t="shared" ref="C26:N26" si="4">SUM(C16:C25)</f>
        <v>241286847</v>
      </c>
      <c r="D26" s="59">
        <f t="shared" si="4"/>
        <v>204350061</v>
      </c>
      <c r="E26" s="59">
        <f t="shared" si="4"/>
        <v>274519449</v>
      </c>
      <c r="F26" s="59">
        <f t="shared" si="4"/>
        <v>263045451</v>
      </c>
      <c r="G26" s="59">
        <f t="shared" si="4"/>
        <v>251670757</v>
      </c>
      <c r="H26" s="59">
        <f t="shared" si="4"/>
        <v>256718953</v>
      </c>
      <c r="I26" s="59">
        <f t="shared" si="4"/>
        <v>457414893</v>
      </c>
      <c r="J26" s="59">
        <f t="shared" si="4"/>
        <v>261976136</v>
      </c>
      <c r="K26" s="59">
        <f t="shared" si="4"/>
        <v>323593887</v>
      </c>
      <c r="L26" s="59">
        <f t="shared" si="4"/>
        <v>524674070</v>
      </c>
      <c r="M26" s="59">
        <f t="shared" si="4"/>
        <v>292976849</v>
      </c>
      <c r="N26" s="59">
        <f t="shared" si="4"/>
        <v>873315286</v>
      </c>
      <c r="O26" s="500">
        <f t="shared" si="3"/>
        <v>4225542639</v>
      </c>
      <c r="P26" s="428">
        <f>SUM(P16:P25)</f>
        <v>4225542639</v>
      </c>
      <c r="Q26" s="429">
        <f t="shared" si="1"/>
        <v>0</v>
      </c>
    </row>
    <row r="27" spans="1:17" ht="16.5" thickBot="1" x14ac:dyDescent="0.3">
      <c r="A27" s="60" t="s">
        <v>42</v>
      </c>
      <c r="B27" s="116" t="s">
        <v>108</v>
      </c>
      <c r="C27" s="61">
        <f t="shared" ref="C27:O27" si="5">C14-C26</f>
        <v>233370194</v>
      </c>
      <c r="D27" s="61">
        <f t="shared" si="5"/>
        <v>12459939</v>
      </c>
      <c r="E27" s="61">
        <f t="shared" si="5"/>
        <v>108702765</v>
      </c>
      <c r="F27" s="61">
        <f t="shared" si="5"/>
        <v>-62596278</v>
      </c>
      <c r="G27" s="61">
        <f t="shared" si="5"/>
        <v>-54107628</v>
      </c>
      <c r="H27" s="61">
        <f t="shared" si="5"/>
        <v>-71203673</v>
      </c>
      <c r="I27" s="61">
        <f t="shared" si="5"/>
        <v>-231129011</v>
      </c>
      <c r="J27" s="61">
        <f t="shared" si="5"/>
        <v>414407391</v>
      </c>
      <c r="K27" s="61">
        <f t="shared" si="5"/>
        <v>647490232</v>
      </c>
      <c r="L27" s="61">
        <f t="shared" si="5"/>
        <v>-369705003</v>
      </c>
      <c r="M27" s="61">
        <f t="shared" si="5"/>
        <v>-55649954</v>
      </c>
      <c r="N27" s="61">
        <f t="shared" si="5"/>
        <v>-572038974</v>
      </c>
      <c r="O27" s="501">
        <f t="shared" si="5"/>
        <v>0</v>
      </c>
    </row>
    <row r="28" spans="1:17" x14ac:dyDescent="0.25">
      <c r="A28" s="63"/>
    </row>
    <row r="29" spans="1:17" x14ac:dyDescent="0.25">
      <c r="B29" s="64"/>
      <c r="C29" s="65"/>
      <c r="D29" s="65"/>
      <c r="O29" s="503"/>
    </row>
    <row r="30" spans="1:17" x14ac:dyDescent="0.25">
      <c r="O30" s="503"/>
    </row>
    <row r="31" spans="1:17" x14ac:dyDescent="0.25">
      <c r="O31" s="503"/>
    </row>
    <row r="32" spans="1:17" x14ac:dyDescent="0.25">
      <c r="O32" s="503"/>
    </row>
    <row r="33" spans="15:15" x14ac:dyDescent="0.25">
      <c r="O33" s="503"/>
    </row>
    <row r="34" spans="15:15" x14ac:dyDescent="0.25">
      <c r="O34" s="503"/>
    </row>
    <row r="35" spans="15:15" x14ac:dyDescent="0.25">
      <c r="O35" s="503"/>
    </row>
    <row r="36" spans="15:15" x14ac:dyDescent="0.25">
      <c r="O36" s="503"/>
    </row>
    <row r="37" spans="15:15" x14ac:dyDescent="0.25">
      <c r="O37" s="503"/>
    </row>
    <row r="38" spans="15:15" x14ac:dyDescent="0.25">
      <c r="O38" s="503"/>
    </row>
    <row r="39" spans="15:15" x14ac:dyDescent="0.25">
      <c r="O39" s="503"/>
    </row>
    <row r="40" spans="15:15" x14ac:dyDescent="0.25">
      <c r="O40" s="503"/>
    </row>
    <row r="41" spans="15:15" x14ac:dyDescent="0.25">
      <c r="O41" s="503"/>
    </row>
    <row r="42" spans="15:15" x14ac:dyDescent="0.25">
      <c r="O42" s="503"/>
    </row>
    <row r="43" spans="15:15" x14ac:dyDescent="0.25">
      <c r="O43" s="503"/>
    </row>
    <row r="44" spans="15:15" x14ac:dyDescent="0.25">
      <c r="O44" s="503"/>
    </row>
    <row r="45" spans="15:15" x14ac:dyDescent="0.25">
      <c r="O45" s="503"/>
    </row>
    <row r="46" spans="15:15" x14ac:dyDescent="0.25">
      <c r="O46" s="503"/>
    </row>
    <row r="47" spans="15:15" x14ac:dyDescent="0.25">
      <c r="O47" s="503"/>
    </row>
    <row r="48" spans="15:15" x14ac:dyDescent="0.25">
      <c r="O48" s="503"/>
    </row>
    <row r="49" spans="15:15" x14ac:dyDescent="0.25">
      <c r="O49" s="503"/>
    </row>
    <row r="50" spans="15:15" x14ac:dyDescent="0.25">
      <c r="O50" s="503"/>
    </row>
    <row r="51" spans="15:15" x14ac:dyDescent="0.25">
      <c r="O51" s="503"/>
    </row>
    <row r="52" spans="15:15" x14ac:dyDescent="0.25">
      <c r="O52" s="503"/>
    </row>
    <row r="53" spans="15:15" x14ac:dyDescent="0.25">
      <c r="O53" s="503"/>
    </row>
    <row r="54" spans="15:15" x14ac:dyDescent="0.25">
      <c r="O54" s="503"/>
    </row>
    <row r="55" spans="15:15" x14ac:dyDescent="0.25">
      <c r="O55" s="503"/>
    </row>
    <row r="56" spans="15:15" x14ac:dyDescent="0.25">
      <c r="O56" s="503"/>
    </row>
    <row r="57" spans="15:15" x14ac:dyDescent="0.25">
      <c r="O57" s="503"/>
    </row>
    <row r="58" spans="15:15" x14ac:dyDescent="0.25">
      <c r="O58" s="503"/>
    </row>
    <row r="59" spans="15:15" x14ac:dyDescent="0.25">
      <c r="O59" s="503"/>
    </row>
    <row r="60" spans="15:15" x14ac:dyDescent="0.25">
      <c r="O60" s="503"/>
    </row>
    <row r="61" spans="15:15" x14ac:dyDescent="0.25">
      <c r="O61" s="503"/>
    </row>
    <row r="62" spans="15:15" x14ac:dyDescent="0.25">
      <c r="O62" s="503"/>
    </row>
    <row r="63" spans="15:15" x14ac:dyDescent="0.25">
      <c r="O63" s="503"/>
    </row>
    <row r="64" spans="15:15" x14ac:dyDescent="0.25">
      <c r="O64" s="503"/>
    </row>
    <row r="65" spans="15:15" x14ac:dyDescent="0.25">
      <c r="O65" s="503"/>
    </row>
    <row r="66" spans="15:15" x14ac:dyDescent="0.25">
      <c r="O66" s="503"/>
    </row>
    <row r="67" spans="15:15" x14ac:dyDescent="0.25">
      <c r="O67" s="503"/>
    </row>
    <row r="68" spans="15:15" x14ac:dyDescent="0.25">
      <c r="O68" s="503"/>
    </row>
    <row r="69" spans="15:15" x14ac:dyDescent="0.25">
      <c r="O69" s="503"/>
    </row>
    <row r="70" spans="15:15" x14ac:dyDescent="0.25">
      <c r="O70" s="503"/>
    </row>
    <row r="71" spans="15:15" x14ac:dyDescent="0.25">
      <c r="O71" s="503"/>
    </row>
    <row r="72" spans="15:15" x14ac:dyDescent="0.25">
      <c r="O72" s="503"/>
    </row>
    <row r="73" spans="15:15" x14ac:dyDescent="0.25">
      <c r="O73" s="503"/>
    </row>
    <row r="74" spans="15:15" x14ac:dyDescent="0.25">
      <c r="O74" s="503"/>
    </row>
    <row r="75" spans="15:15" x14ac:dyDescent="0.25">
      <c r="O75" s="503"/>
    </row>
    <row r="76" spans="15:15" x14ac:dyDescent="0.25">
      <c r="O76" s="503"/>
    </row>
    <row r="77" spans="15:15" x14ac:dyDescent="0.25">
      <c r="O77" s="503"/>
    </row>
    <row r="78" spans="15:15" x14ac:dyDescent="0.25">
      <c r="O78" s="503"/>
    </row>
    <row r="79" spans="15:15" x14ac:dyDescent="0.25">
      <c r="O79" s="503"/>
    </row>
    <row r="80" spans="15:15" x14ac:dyDescent="0.25">
      <c r="O80" s="503"/>
    </row>
    <row r="81" spans="15:15" x14ac:dyDescent="0.25">
      <c r="O81" s="503"/>
    </row>
    <row r="82" spans="15:15" x14ac:dyDescent="0.25">
      <c r="O82" s="50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29. számú melléklet a 4/2020.(II.28.)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zoomScaleNormal="115" zoomScaleSheetLayoutView="100" workbookViewId="0">
      <selection activeCell="I3" sqref="I3"/>
    </sheetView>
  </sheetViews>
  <sheetFormatPr defaultRowHeight="15.75" x14ac:dyDescent="0.25"/>
  <cols>
    <col min="1" max="1" width="9.5" style="186" customWidth="1"/>
    <col min="2" max="2" width="83.83203125" style="186" customWidth="1"/>
    <col min="3" max="3" width="21.6640625" style="312" customWidth="1"/>
    <col min="4" max="4" width="19.33203125" style="197" hidden="1" customWidth="1"/>
    <col min="5" max="5" width="15.83203125" style="197" hidden="1" customWidth="1"/>
    <col min="6" max="6" width="15.33203125" style="197" hidden="1" customWidth="1"/>
    <col min="7" max="7" width="0" style="197" hidden="1" customWidth="1"/>
    <col min="8" max="16384" width="9.33203125" style="197"/>
  </cols>
  <sheetData>
    <row r="1" spans="1:6" ht="15.95" customHeight="1" x14ac:dyDescent="0.25">
      <c r="A1" s="1172" t="s">
        <v>16</v>
      </c>
      <c r="B1" s="1172"/>
      <c r="C1" s="1172"/>
      <c r="D1" s="186"/>
      <c r="E1" s="186"/>
      <c r="F1" s="186"/>
    </row>
    <row r="2" spans="1:6" ht="15.95" customHeight="1" thickBot="1" x14ac:dyDescent="0.3">
      <c r="A2" s="1175"/>
      <c r="B2" s="1175"/>
      <c r="C2" s="131" t="s">
        <v>552</v>
      </c>
      <c r="D2" s="186"/>
      <c r="E2" s="186"/>
      <c r="F2" s="186"/>
    </row>
    <row r="3" spans="1:6" ht="38.1" customHeight="1" thickBot="1" x14ac:dyDescent="0.3">
      <c r="A3" s="21" t="s">
        <v>70</v>
      </c>
      <c r="B3" s="22" t="s">
        <v>18</v>
      </c>
      <c r="C3" s="32" t="s">
        <v>603</v>
      </c>
      <c r="D3" s="186" t="s">
        <v>558</v>
      </c>
      <c r="E3" s="186" t="s">
        <v>559</v>
      </c>
      <c r="F3" s="186" t="s">
        <v>560</v>
      </c>
    </row>
    <row r="4" spans="1:6" s="198" customFormat="1" ht="12" customHeight="1" thickBot="1" x14ac:dyDescent="0.25">
      <c r="A4" s="192" t="s">
        <v>443</v>
      </c>
      <c r="B4" s="193" t="s">
        <v>444</v>
      </c>
      <c r="C4" s="194" t="s">
        <v>445</v>
      </c>
    </row>
    <row r="5" spans="1:6" s="199" customFormat="1" ht="12" customHeight="1" thickBot="1" x14ac:dyDescent="0.25">
      <c r="A5" s="18" t="s">
        <v>19</v>
      </c>
      <c r="B5" s="19" t="s">
        <v>184</v>
      </c>
      <c r="C5" s="122">
        <f t="shared" ref="C5:C68" si="0">SUM(D5:F5)</f>
        <v>266011518</v>
      </c>
      <c r="D5" s="281">
        <f>+D6+D7+D8+D9+D10+D11</f>
        <v>266011518</v>
      </c>
      <c r="E5" s="122">
        <f>+E6+E7+E8+E9+E10+E11</f>
        <v>0</v>
      </c>
      <c r="F5" s="122">
        <f>+F6+F7+F8+F9+F10+F11</f>
        <v>0</v>
      </c>
    </row>
    <row r="6" spans="1:6" s="199" customFormat="1" ht="12" customHeight="1" x14ac:dyDescent="0.2">
      <c r="A6" s="13" t="s">
        <v>95</v>
      </c>
      <c r="B6" s="200" t="s">
        <v>185</v>
      </c>
      <c r="C6" s="195">
        <f t="shared" si="0"/>
        <v>0</v>
      </c>
      <c r="D6" s="283"/>
      <c r="E6" s="238"/>
      <c r="F6" s="124"/>
    </row>
    <row r="7" spans="1:6" s="199" customFormat="1" ht="12" customHeight="1" x14ac:dyDescent="0.2">
      <c r="A7" s="12" t="s">
        <v>96</v>
      </c>
      <c r="B7" s="201" t="s">
        <v>186</v>
      </c>
      <c r="C7" s="308">
        <f t="shared" si="0"/>
        <v>0</v>
      </c>
      <c r="D7" s="111"/>
      <c r="E7" s="126"/>
      <c r="F7" s="123"/>
    </row>
    <row r="8" spans="1:6" s="199" customFormat="1" ht="12" customHeight="1" x14ac:dyDescent="0.2">
      <c r="A8" s="12" t="s">
        <v>97</v>
      </c>
      <c r="B8" s="201" t="s">
        <v>544</v>
      </c>
      <c r="C8" s="921">
        <f t="shared" si="0"/>
        <v>266011518</v>
      </c>
      <c r="D8" s="111">
        <f>152850000+73694436+34341000+5126082</f>
        <v>266011518</v>
      </c>
      <c r="E8" s="126"/>
      <c r="F8" s="123"/>
    </row>
    <row r="9" spans="1:6" s="199" customFormat="1" ht="12" customHeight="1" x14ac:dyDescent="0.2">
      <c r="A9" s="12" t="s">
        <v>98</v>
      </c>
      <c r="B9" s="201" t="s">
        <v>188</v>
      </c>
      <c r="C9" s="308">
        <f t="shared" si="0"/>
        <v>0</v>
      </c>
      <c r="D9" s="111"/>
      <c r="E9" s="126"/>
      <c r="F9" s="123"/>
    </row>
    <row r="10" spans="1:6" s="199" customFormat="1" ht="12" customHeight="1" x14ac:dyDescent="0.2">
      <c r="A10" s="12" t="s">
        <v>121</v>
      </c>
      <c r="B10" s="118" t="s">
        <v>446</v>
      </c>
      <c r="C10" s="308">
        <f t="shared" si="0"/>
        <v>0</v>
      </c>
      <c r="D10" s="265"/>
      <c r="E10" s="126"/>
      <c r="F10" s="126"/>
    </row>
    <row r="11" spans="1:6" s="199" customFormat="1" ht="12" customHeight="1" thickBot="1" x14ac:dyDescent="0.25">
      <c r="A11" s="14" t="s">
        <v>99</v>
      </c>
      <c r="B11" s="119" t="s">
        <v>447</v>
      </c>
      <c r="C11" s="309">
        <f t="shared" si="0"/>
        <v>0</v>
      </c>
      <c r="D11" s="111"/>
      <c r="E11" s="123"/>
      <c r="F11" s="123"/>
    </row>
    <row r="12" spans="1:6" s="199" customFormat="1" ht="12" customHeight="1" thickBot="1" x14ac:dyDescent="0.25">
      <c r="A12" s="18" t="s">
        <v>20</v>
      </c>
      <c r="B12" s="117" t="s">
        <v>189</v>
      </c>
      <c r="C12" s="122">
        <f t="shared" si="0"/>
        <v>200299073</v>
      </c>
      <c r="D12" s="281">
        <f>+D13+D14+D15+D16+D17</f>
        <v>118240692</v>
      </c>
      <c r="E12" s="122">
        <f>+E13+E14+E15+E16+E17</f>
        <v>0</v>
      </c>
      <c r="F12" s="122">
        <f>+F13+F14+F15+F16+F17</f>
        <v>82058381</v>
      </c>
    </row>
    <row r="13" spans="1:6" s="199" customFormat="1" ht="12" customHeight="1" x14ac:dyDescent="0.2">
      <c r="A13" s="13" t="s">
        <v>101</v>
      </c>
      <c r="B13" s="200" t="s">
        <v>190</v>
      </c>
      <c r="C13" s="195">
        <f t="shared" si="0"/>
        <v>0</v>
      </c>
      <c r="D13" s="283"/>
      <c r="E13" s="124"/>
      <c r="F13" s="124"/>
    </row>
    <row r="14" spans="1:6" s="199" customFormat="1" ht="12" customHeight="1" x14ac:dyDescent="0.2">
      <c r="A14" s="12" t="s">
        <v>102</v>
      </c>
      <c r="B14" s="201" t="s">
        <v>191</v>
      </c>
      <c r="C14" s="308">
        <f t="shared" si="0"/>
        <v>0</v>
      </c>
      <c r="D14" s="111"/>
      <c r="E14" s="123"/>
      <c r="F14" s="123"/>
    </row>
    <row r="15" spans="1:6" s="199" customFormat="1" ht="12" customHeight="1" x14ac:dyDescent="0.2">
      <c r="A15" s="12" t="s">
        <v>103</v>
      </c>
      <c r="B15" s="201" t="s">
        <v>359</v>
      </c>
      <c r="C15" s="308">
        <f t="shared" si="0"/>
        <v>0</v>
      </c>
      <c r="D15" s="111"/>
      <c r="E15" s="123"/>
      <c r="F15" s="123"/>
    </row>
    <row r="16" spans="1:6" s="199" customFormat="1" ht="12" customHeight="1" x14ac:dyDescent="0.2">
      <c r="A16" s="12" t="s">
        <v>104</v>
      </c>
      <c r="B16" s="201" t="s">
        <v>360</v>
      </c>
      <c r="C16" s="308">
        <f t="shared" si="0"/>
        <v>0</v>
      </c>
      <c r="D16" s="111"/>
      <c r="E16" s="123"/>
      <c r="F16" s="123"/>
    </row>
    <row r="17" spans="1:6" s="199" customFormat="1" ht="12" customHeight="1" x14ac:dyDescent="0.2">
      <c r="A17" s="12" t="s">
        <v>105</v>
      </c>
      <c r="B17" s="201" t="s">
        <v>192</v>
      </c>
      <c r="C17" s="921">
        <f t="shared" si="0"/>
        <v>200299073</v>
      </c>
      <c r="D17" s="265">
        <f>102792540+3975280+2520375+3020044+211500+5720953</f>
        <v>118240692</v>
      </c>
      <c r="E17" s="126"/>
      <c r="F17" s="126">
        <f>22754943+1659858+57643580</f>
        <v>82058381</v>
      </c>
    </row>
    <row r="18" spans="1:6" s="199" customFormat="1" ht="12" customHeight="1" thickBot="1" x14ac:dyDescent="0.25">
      <c r="A18" s="14" t="s">
        <v>114</v>
      </c>
      <c r="B18" s="119" t="s">
        <v>193</v>
      </c>
      <c r="C18" s="1112">
        <f t="shared" si="0"/>
        <v>71320927</v>
      </c>
      <c r="D18" s="269">
        <f>1659858+384546</f>
        <v>2044404</v>
      </c>
      <c r="E18" s="189"/>
      <c r="F18" s="189">
        <f>754943+68521580</f>
        <v>69276523</v>
      </c>
    </row>
    <row r="19" spans="1:6" s="199" customFormat="1" ht="12" customHeight="1" thickBot="1" x14ac:dyDescent="0.25">
      <c r="A19" s="18" t="s">
        <v>21</v>
      </c>
      <c r="B19" s="19" t="s">
        <v>194</v>
      </c>
      <c r="C19" s="122">
        <f t="shared" si="0"/>
        <v>14325200</v>
      </c>
      <c r="D19" s="281">
        <f>+D20+D21+D22+D23+D24</f>
        <v>0</v>
      </c>
      <c r="E19" s="122">
        <f>+E20+E21+E22+E23+E24</f>
        <v>0</v>
      </c>
      <c r="F19" s="122">
        <f>+F20+F21+F22+F23+F24</f>
        <v>14325200</v>
      </c>
    </row>
    <row r="20" spans="1:6" s="199" customFormat="1" ht="12" customHeight="1" x14ac:dyDescent="0.2">
      <c r="A20" s="13" t="s">
        <v>84</v>
      </c>
      <c r="B20" s="200" t="s">
        <v>195</v>
      </c>
      <c r="C20" s="195">
        <f t="shared" si="0"/>
        <v>0</v>
      </c>
      <c r="D20" s="283"/>
      <c r="E20" s="549"/>
      <c r="F20" s="124"/>
    </row>
    <row r="21" spans="1:6" s="199" customFormat="1" ht="12" customHeight="1" x14ac:dyDescent="0.2">
      <c r="A21" s="12" t="s">
        <v>85</v>
      </c>
      <c r="B21" s="201" t="s">
        <v>196</v>
      </c>
      <c r="C21" s="308">
        <f t="shared" si="0"/>
        <v>0</v>
      </c>
      <c r="D21" s="111"/>
      <c r="E21" s="126"/>
      <c r="F21" s="123"/>
    </row>
    <row r="22" spans="1:6" s="199" customFormat="1" ht="12" customHeight="1" x14ac:dyDescent="0.2">
      <c r="A22" s="12" t="s">
        <v>86</v>
      </c>
      <c r="B22" s="201" t="s">
        <v>361</v>
      </c>
      <c r="C22" s="308">
        <f t="shared" si="0"/>
        <v>0</v>
      </c>
      <c r="D22" s="111"/>
      <c r="E22" s="126"/>
      <c r="F22" s="123"/>
    </row>
    <row r="23" spans="1:6" s="199" customFormat="1" ht="12" customHeight="1" x14ac:dyDescent="0.2">
      <c r="A23" s="12" t="s">
        <v>87</v>
      </c>
      <c r="B23" s="201" t="s">
        <v>362</v>
      </c>
      <c r="C23" s="308">
        <f t="shared" si="0"/>
        <v>0</v>
      </c>
      <c r="D23" s="111"/>
      <c r="E23" s="126"/>
      <c r="F23" s="123"/>
    </row>
    <row r="24" spans="1:6" s="199" customFormat="1" ht="12" customHeight="1" x14ac:dyDescent="0.2">
      <c r="A24" s="12" t="s">
        <v>132</v>
      </c>
      <c r="B24" s="201" t="s">
        <v>197</v>
      </c>
      <c r="C24" s="305">
        <f t="shared" si="0"/>
        <v>14325200</v>
      </c>
      <c r="D24" s="265"/>
      <c r="E24" s="126"/>
      <c r="F24" s="126">
        <v>14325200</v>
      </c>
    </row>
    <row r="25" spans="1:6" s="199" customFormat="1" ht="12" customHeight="1" thickBot="1" x14ac:dyDescent="0.25">
      <c r="A25" s="14" t="s">
        <v>133</v>
      </c>
      <c r="B25" s="202" t="s">
        <v>198</v>
      </c>
      <c r="C25" s="760">
        <f t="shared" si="0"/>
        <v>1092200</v>
      </c>
      <c r="D25" s="269"/>
      <c r="E25" s="189"/>
      <c r="F25" s="189">
        <v>1092200</v>
      </c>
    </row>
    <row r="26" spans="1:6" s="199" customFormat="1" ht="12" customHeight="1" thickBot="1" x14ac:dyDescent="0.25">
      <c r="A26" s="18" t="s">
        <v>134</v>
      </c>
      <c r="B26" s="19" t="s">
        <v>620</v>
      </c>
      <c r="C26" s="310">
        <f t="shared" si="0"/>
        <v>0</v>
      </c>
      <c r="D26" s="284">
        <f>+D27+D31+D32+D33</f>
        <v>0</v>
      </c>
      <c r="E26" s="127">
        <f>+E27+E31+E32+E33</f>
        <v>0</v>
      </c>
      <c r="F26" s="127">
        <f>+F27+F31+F32+F33</f>
        <v>0</v>
      </c>
    </row>
    <row r="27" spans="1:6" s="199" customFormat="1" ht="12" customHeight="1" x14ac:dyDescent="0.2">
      <c r="A27" s="13" t="s">
        <v>200</v>
      </c>
      <c r="B27" s="200" t="s">
        <v>602</v>
      </c>
      <c r="C27" s="195">
        <f t="shared" si="0"/>
        <v>0</v>
      </c>
      <c r="D27" s="299">
        <f>SUM(D28:D29)</f>
        <v>0</v>
      </c>
      <c r="E27" s="299">
        <f t="shared" ref="E27:F27" si="1">SUM(E28:E29)</f>
        <v>0</v>
      </c>
      <c r="F27" s="299">
        <f t="shared" si="1"/>
        <v>0</v>
      </c>
    </row>
    <row r="28" spans="1:6" s="199" customFormat="1" ht="12" customHeight="1" x14ac:dyDescent="0.2">
      <c r="A28" s="12" t="s">
        <v>201</v>
      </c>
      <c r="B28" s="201" t="s">
        <v>206</v>
      </c>
      <c r="C28" s="308">
        <f t="shared" si="0"/>
        <v>0</v>
      </c>
      <c r="D28" s="111"/>
      <c r="E28" s="123"/>
      <c r="F28" s="123"/>
    </row>
    <row r="29" spans="1:6" s="199" customFormat="1" ht="12" customHeight="1" x14ac:dyDescent="0.2">
      <c r="A29" s="12" t="s">
        <v>202</v>
      </c>
      <c r="B29" s="248" t="s">
        <v>601</v>
      </c>
      <c r="C29" s="308">
        <f t="shared" si="0"/>
        <v>0</v>
      </c>
      <c r="D29" s="111"/>
      <c r="E29" s="123"/>
      <c r="F29" s="123"/>
    </row>
    <row r="30" spans="1:6" s="199" customFormat="1" ht="12" customHeight="1" x14ac:dyDescent="0.2">
      <c r="A30" s="12" t="s">
        <v>203</v>
      </c>
      <c r="B30" s="201" t="s">
        <v>534</v>
      </c>
      <c r="C30" s="308">
        <f t="shared" si="0"/>
        <v>0</v>
      </c>
      <c r="D30" s="111"/>
      <c r="E30" s="126"/>
      <c r="F30" s="123"/>
    </row>
    <row r="31" spans="1:6" s="199" customFormat="1" ht="12" customHeight="1" x14ac:dyDescent="0.2">
      <c r="A31" s="12" t="s">
        <v>535</v>
      </c>
      <c r="B31" s="201" t="s">
        <v>207</v>
      </c>
      <c r="C31" s="308">
        <f t="shared" si="0"/>
        <v>0</v>
      </c>
      <c r="D31" s="111"/>
      <c r="E31" s="123"/>
      <c r="F31" s="123"/>
    </row>
    <row r="32" spans="1:6" s="199" customFormat="1" ht="12" customHeight="1" x14ac:dyDescent="0.2">
      <c r="A32" s="12" t="s">
        <v>205</v>
      </c>
      <c r="B32" s="201" t="s">
        <v>208</v>
      </c>
      <c r="C32" s="308">
        <f t="shared" si="0"/>
        <v>0</v>
      </c>
      <c r="D32" s="111"/>
      <c r="E32" s="123"/>
      <c r="F32" s="123"/>
    </row>
    <row r="33" spans="1:6" s="199" customFormat="1" ht="12" customHeight="1" thickBot="1" x14ac:dyDescent="0.25">
      <c r="A33" s="14" t="s">
        <v>536</v>
      </c>
      <c r="B33" s="202" t="s">
        <v>209</v>
      </c>
      <c r="C33" s="309">
        <f t="shared" si="0"/>
        <v>0</v>
      </c>
      <c r="D33" s="112"/>
      <c r="E33" s="189"/>
      <c r="F33" s="125"/>
    </row>
    <row r="34" spans="1:6" s="199" customFormat="1" ht="12" customHeight="1" thickBot="1" x14ac:dyDescent="0.25">
      <c r="A34" s="18" t="s">
        <v>23</v>
      </c>
      <c r="B34" s="19" t="s">
        <v>448</v>
      </c>
      <c r="C34" s="122">
        <f t="shared" si="0"/>
        <v>185149999</v>
      </c>
      <c r="D34" s="281">
        <f>SUM(D35:D45)</f>
        <v>3050879</v>
      </c>
      <c r="E34" s="122">
        <f>SUM(E35:E45)</f>
        <v>0</v>
      </c>
      <c r="F34" s="122">
        <f>SUM(F35:F45)</f>
        <v>182099120</v>
      </c>
    </row>
    <row r="35" spans="1:6" s="199" customFormat="1" ht="12" customHeight="1" x14ac:dyDescent="0.2">
      <c r="A35" s="13" t="s">
        <v>88</v>
      </c>
      <c r="B35" s="200" t="s">
        <v>212</v>
      </c>
      <c r="C35" s="923">
        <f t="shared" si="0"/>
        <v>10508580</v>
      </c>
      <c r="D35" s="283">
        <f>10375680+132900</f>
        <v>10508580</v>
      </c>
      <c r="E35" s="238"/>
      <c r="F35" s="124"/>
    </row>
    <row r="36" spans="1:6" s="199" customFormat="1" ht="12" customHeight="1" x14ac:dyDescent="0.2">
      <c r="A36" s="12" t="s">
        <v>89</v>
      </c>
      <c r="B36" s="201" t="s">
        <v>213</v>
      </c>
      <c r="C36" s="924">
        <f t="shared" si="0"/>
        <v>3491005</v>
      </c>
      <c r="D36" s="265">
        <f>787402+500000+66929+35063+744361+96000</f>
        <v>2229755</v>
      </c>
      <c r="E36" s="126"/>
      <c r="F36" s="124">
        <f>170000+16000+1000000+75250</f>
        <v>1261250</v>
      </c>
    </row>
    <row r="37" spans="1:6" s="199" customFormat="1" ht="12" customHeight="1" x14ac:dyDescent="0.2">
      <c r="A37" s="12" t="s">
        <v>90</v>
      </c>
      <c r="B37" s="201" t="s">
        <v>214</v>
      </c>
      <c r="C37" s="921">
        <f t="shared" si="0"/>
        <v>7700000</v>
      </c>
      <c r="D37" s="265">
        <v>-5000000</v>
      </c>
      <c r="E37" s="126"/>
      <c r="F37" s="124">
        <v>12700000</v>
      </c>
    </row>
    <row r="38" spans="1:6" s="199" customFormat="1" ht="12" customHeight="1" x14ac:dyDescent="0.2">
      <c r="A38" s="12" t="s">
        <v>136</v>
      </c>
      <c r="B38" s="201" t="s">
        <v>215</v>
      </c>
      <c r="C38" s="305">
        <f t="shared" si="0"/>
        <v>0</v>
      </c>
      <c r="D38" s="111"/>
      <c r="E38" s="126"/>
      <c r="F38" s="124"/>
    </row>
    <row r="39" spans="1:6" s="199" customFormat="1" ht="12" customHeight="1" x14ac:dyDescent="0.2">
      <c r="A39" s="12" t="s">
        <v>137</v>
      </c>
      <c r="B39" s="201" t="s">
        <v>216</v>
      </c>
      <c r="C39" s="921">
        <f t="shared" si="0"/>
        <v>159016000</v>
      </c>
      <c r="D39" s="111">
        <v>-7300000</v>
      </c>
      <c r="E39" s="126"/>
      <c r="F39" s="124">
        <f>152500000+13816000</f>
        <v>166316000</v>
      </c>
    </row>
    <row r="40" spans="1:6" s="199" customFormat="1" ht="12" customHeight="1" x14ac:dyDescent="0.2">
      <c r="A40" s="12" t="s">
        <v>138</v>
      </c>
      <c r="B40" s="201" t="s">
        <v>217</v>
      </c>
      <c r="C40" s="921">
        <f t="shared" si="0"/>
        <v>4099414</v>
      </c>
      <c r="D40" s="111">
        <f>212598+2801434+135000+18071+9467+85039+115935-1100000</f>
        <v>2277544</v>
      </c>
      <c r="E40" s="126"/>
      <c r="F40" s="124">
        <f>45900+4320+1771650</f>
        <v>1821870</v>
      </c>
    </row>
    <row r="41" spans="1:6" s="199" customFormat="1" ht="12" customHeight="1" x14ac:dyDescent="0.2">
      <c r="A41" s="12" t="s">
        <v>139</v>
      </c>
      <c r="B41" s="201" t="s">
        <v>218</v>
      </c>
      <c r="C41" s="308">
        <f t="shared" si="0"/>
        <v>0</v>
      </c>
      <c r="D41" s="111"/>
      <c r="E41" s="126"/>
      <c r="F41" s="124"/>
    </row>
    <row r="42" spans="1:6" s="199" customFormat="1" ht="12" customHeight="1" x14ac:dyDescent="0.2">
      <c r="A42" s="12" t="s">
        <v>140</v>
      </c>
      <c r="B42" s="201" t="s">
        <v>541</v>
      </c>
      <c r="C42" s="308">
        <f t="shared" si="0"/>
        <v>0</v>
      </c>
      <c r="D42" s="111"/>
      <c r="E42" s="126"/>
      <c r="F42" s="126"/>
    </row>
    <row r="43" spans="1:6" s="199" customFormat="1" ht="12" customHeight="1" x14ac:dyDescent="0.2">
      <c r="A43" s="12" t="s">
        <v>210</v>
      </c>
      <c r="B43" s="201" t="s">
        <v>220</v>
      </c>
      <c r="C43" s="308">
        <f t="shared" si="0"/>
        <v>0</v>
      </c>
      <c r="D43" s="265"/>
      <c r="E43" s="126"/>
      <c r="F43" s="126"/>
    </row>
    <row r="44" spans="1:6" s="199" customFormat="1" ht="12" customHeight="1" x14ac:dyDescent="0.2">
      <c r="A44" s="14" t="s">
        <v>211</v>
      </c>
      <c r="B44" s="202" t="s">
        <v>449</v>
      </c>
      <c r="C44" s="308">
        <f t="shared" si="0"/>
        <v>0</v>
      </c>
      <c r="D44" s="269"/>
      <c r="E44" s="189"/>
      <c r="F44" s="189"/>
    </row>
    <row r="45" spans="1:6" s="199" customFormat="1" ht="12" customHeight="1" thickBot="1" x14ac:dyDescent="0.25">
      <c r="A45" s="14" t="s">
        <v>450</v>
      </c>
      <c r="B45" s="119" t="s">
        <v>221</v>
      </c>
      <c r="C45" s="309">
        <f t="shared" si="0"/>
        <v>335000</v>
      </c>
      <c r="D45" s="269">
        <f>335000</f>
        <v>335000</v>
      </c>
      <c r="E45" s="189"/>
      <c r="F45" s="189"/>
    </row>
    <row r="46" spans="1:6" s="199" customFormat="1" ht="12" customHeight="1" thickBot="1" x14ac:dyDescent="0.25">
      <c r="A46" s="18" t="s">
        <v>24</v>
      </c>
      <c r="B46" s="19" t="s">
        <v>222</v>
      </c>
      <c r="C46" s="122">
        <f t="shared" si="0"/>
        <v>0</v>
      </c>
      <c r="D46" s="281">
        <f>SUM(D47:D51)</f>
        <v>0</v>
      </c>
      <c r="E46" s="122">
        <f>SUM(E47:E51)</f>
        <v>0</v>
      </c>
      <c r="F46" s="122">
        <f>SUM(F47:F51)</f>
        <v>0</v>
      </c>
    </row>
    <row r="47" spans="1:6" s="199" customFormat="1" ht="12" customHeight="1" x14ac:dyDescent="0.2">
      <c r="A47" s="13" t="s">
        <v>91</v>
      </c>
      <c r="B47" s="200" t="s">
        <v>226</v>
      </c>
      <c r="C47" s="195">
        <f t="shared" si="0"/>
        <v>0</v>
      </c>
      <c r="D47" s="285"/>
      <c r="E47" s="238"/>
      <c r="F47" s="238"/>
    </row>
    <row r="48" spans="1:6" s="199" customFormat="1" ht="12" customHeight="1" x14ac:dyDescent="0.2">
      <c r="A48" s="12" t="s">
        <v>92</v>
      </c>
      <c r="B48" s="201" t="s">
        <v>227</v>
      </c>
      <c r="C48" s="308">
        <f t="shared" si="0"/>
        <v>0</v>
      </c>
      <c r="D48" s="265"/>
      <c r="E48" s="126"/>
      <c r="F48" s="126"/>
    </row>
    <row r="49" spans="1:6" s="199" customFormat="1" ht="12" customHeight="1" x14ac:dyDescent="0.2">
      <c r="A49" s="12" t="s">
        <v>223</v>
      </c>
      <c r="B49" s="201" t="s">
        <v>228</v>
      </c>
      <c r="C49" s="308">
        <f t="shared" si="0"/>
        <v>0</v>
      </c>
      <c r="D49" s="265"/>
      <c r="E49" s="126"/>
      <c r="F49" s="126"/>
    </row>
    <row r="50" spans="1:6" s="199" customFormat="1" ht="12" customHeight="1" x14ac:dyDescent="0.2">
      <c r="A50" s="12" t="s">
        <v>224</v>
      </c>
      <c r="B50" s="201" t="s">
        <v>229</v>
      </c>
      <c r="C50" s="308">
        <f t="shared" si="0"/>
        <v>0</v>
      </c>
      <c r="D50" s="265"/>
      <c r="E50" s="126"/>
      <c r="F50" s="126"/>
    </row>
    <row r="51" spans="1:6" s="199" customFormat="1" ht="12" customHeight="1" thickBot="1" x14ac:dyDescent="0.25">
      <c r="A51" s="14" t="s">
        <v>225</v>
      </c>
      <c r="B51" s="119" t="s">
        <v>230</v>
      </c>
      <c r="C51" s="309">
        <f t="shared" si="0"/>
        <v>0</v>
      </c>
      <c r="D51" s="269"/>
      <c r="E51" s="189"/>
      <c r="F51" s="189"/>
    </row>
    <row r="52" spans="1:6" s="199" customFormat="1" ht="12" customHeight="1" thickBot="1" x14ac:dyDescent="0.25">
      <c r="A52" s="18" t="s">
        <v>141</v>
      </c>
      <c r="B52" s="19" t="s">
        <v>231</v>
      </c>
      <c r="C52" s="122">
        <f t="shared" si="0"/>
        <v>1232700</v>
      </c>
      <c r="D52" s="281">
        <f>SUM(D53:D55)</f>
        <v>1232700</v>
      </c>
      <c r="E52" s="122">
        <f>SUM(E53:E55)</f>
        <v>0</v>
      </c>
      <c r="F52" s="122">
        <f>SUM(F53:F55)</f>
        <v>0</v>
      </c>
    </row>
    <row r="53" spans="1:6" s="199" customFormat="1" ht="12" customHeight="1" x14ac:dyDescent="0.2">
      <c r="A53" s="13" t="s">
        <v>93</v>
      </c>
      <c r="B53" s="200" t="s">
        <v>232</v>
      </c>
      <c r="C53" s="195">
        <f t="shared" si="0"/>
        <v>0</v>
      </c>
      <c r="D53" s="283"/>
      <c r="E53" s="124"/>
      <c r="F53" s="124"/>
    </row>
    <row r="54" spans="1:6" s="199" customFormat="1" ht="12" customHeight="1" x14ac:dyDescent="0.2">
      <c r="A54" s="12" t="s">
        <v>94</v>
      </c>
      <c r="B54" s="201" t="s">
        <v>363</v>
      </c>
      <c r="C54" s="308">
        <f t="shared" si="0"/>
        <v>480000</v>
      </c>
      <c r="D54" s="265">
        <f>480000</f>
        <v>480000</v>
      </c>
      <c r="E54" s="126"/>
      <c r="F54" s="126"/>
    </row>
    <row r="55" spans="1:6" s="199" customFormat="1" ht="12" customHeight="1" x14ac:dyDescent="0.2">
      <c r="A55" s="12" t="s">
        <v>235</v>
      </c>
      <c r="B55" s="201" t="s">
        <v>233</v>
      </c>
      <c r="C55" s="305">
        <f t="shared" si="0"/>
        <v>752700</v>
      </c>
      <c r="D55" s="265">
        <f>752700</f>
        <v>752700</v>
      </c>
      <c r="E55" s="126"/>
      <c r="F55" s="126"/>
    </row>
    <row r="56" spans="1:6" s="199" customFormat="1" ht="12" customHeight="1" thickBot="1" x14ac:dyDescent="0.25">
      <c r="A56" s="14" t="s">
        <v>236</v>
      </c>
      <c r="B56" s="119" t="s">
        <v>234</v>
      </c>
      <c r="C56" s="309">
        <f t="shared" si="0"/>
        <v>0</v>
      </c>
      <c r="D56" s="112"/>
      <c r="E56" s="125"/>
      <c r="F56" s="125"/>
    </row>
    <row r="57" spans="1:6" s="199" customFormat="1" ht="12" customHeight="1" thickBot="1" x14ac:dyDescent="0.25">
      <c r="A57" s="18" t="s">
        <v>26</v>
      </c>
      <c r="B57" s="117" t="s">
        <v>237</v>
      </c>
      <c r="C57" s="122">
        <f t="shared" si="0"/>
        <v>0</v>
      </c>
      <c r="D57" s="281">
        <f>SUM(D58:D60)</f>
        <v>0</v>
      </c>
      <c r="E57" s="122">
        <f>SUM(E58:E60)</f>
        <v>0</v>
      </c>
      <c r="F57" s="122">
        <f>SUM(F58:F60)</f>
        <v>0</v>
      </c>
    </row>
    <row r="58" spans="1:6" s="199" customFormat="1" ht="12" customHeight="1" x14ac:dyDescent="0.2">
      <c r="A58" s="13" t="s">
        <v>142</v>
      </c>
      <c r="B58" s="200" t="s">
        <v>239</v>
      </c>
      <c r="C58" s="195">
        <f t="shared" si="0"/>
        <v>0</v>
      </c>
      <c r="D58" s="265"/>
      <c r="E58" s="126"/>
      <c r="F58" s="126"/>
    </row>
    <row r="59" spans="1:6" s="199" customFormat="1" ht="12" customHeight="1" x14ac:dyDescent="0.2">
      <c r="A59" s="12" t="s">
        <v>143</v>
      </c>
      <c r="B59" s="201" t="s">
        <v>364</v>
      </c>
      <c r="C59" s="308">
        <f t="shared" si="0"/>
        <v>0</v>
      </c>
      <c r="D59" s="265"/>
      <c r="E59" s="126"/>
      <c r="F59" s="126"/>
    </row>
    <row r="60" spans="1:6" s="199" customFormat="1" ht="12" customHeight="1" x14ac:dyDescent="0.2">
      <c r="A60" s="12" t="s">
        <v>164</v>
      </c>
      <c r="B60" s="201" t="s">
        <v>240</v>
      </c>
      <c r="C60" s="308">
        <f t="shared" si="0"/>
        <v>0</v>
      </c>
      <c r="D60" s="265"/>
      <c r="E60" s="126"/>
      <c r="F60" s="126"/>
    </row>
    <row r="61" spans="1:6" s="199" customFormat="1" ht="12" customHeight="1" thickBot="1" x14ac:dyDescent="0.25">
      <c r="A61" s="14" t="s">
        <v>238</v>
      </c>
      <c r="B61" s="119" t="s">
        <v>241</v>
      </c>
      <c r="C61" s="309">
        <f t="shared" si="0"/>
        <v>0</v>
      </c>
      <c r="D61" s="265"/>
      <c r="E61" s="126"/>
      <c r="F61" s="126"/>
    </row>
    <row r="62" spans="1:6" s="199" customFormat="1" ht="12" customHeight="1" thickBot="1" x14ac:dyDescent="0.25">
      <c r="A62" s="249" t="s">
        <v>451</v>
      </c>
      <c r="B62" s="19" t="s">
        <v>242</v>
      </c>
      <c r="C62" s="122">
        <f t="shared" si="0"/>
        <v>667018490</v>
      </c>
      <c r="D62" s="284">
        <f>+D5+D12+D19+D26+D34+D46+D52+D57</f>
        <v>388535789</v>
      </c>
      <c r="E62" s="127">
        <f>+E5+E12+E19+E26+E34+E46+E52+E57</f>
        <v>0</v>
      </c>
      <c r="F62" s="127">
        <f>+F5+F12+F19+F26+F34+F46+F52+F57</f>
        <v>278482701</v>
      </c>
    </row>
    <row r="63" spans="1:6" s="199" customFormat="1" ht="12" customHeight="1" thickBot="1" x14ac:dyDescent="0.25">
      <c r="A63" s="250" t="s">
        <v>243</v>
      </c>
      <c r="B63" s="117" t="s">
        <v>244</v>
      </c>
      <c r="C63" s="122">
        <f t="shared" si="0"/>
        <v>0</v>
      </c>
      <c r="D63" s="281">
        <f>SUM(D64:D66)</f>
        <v>0</v>
      </c>
      <c r="E63" s="122">
        <f>SUM(E64:E66)</f>
        <v>0</v>
      </c>
      <c r="F63" s="266">
        <f>SUM(F64:F66)</f>
        <v>0</v>
      </c>
    </row>
    <row r="64" spans="1:6" s="199" customFormat="1" ht="12" customHeight="1" x14ac:dyDescent="0.2">
      <c r="A64" s="13" t="s">
        <v>275</v>
      </c>
      <c r="B64" s="200" t="s">
        <v>245</v>
      </c>
      <c r="C64" s="195">
        <f t="shared" si="0"/>
        <v>0</v>
      </c>
      <c r="D64" s="265"/>
      <c r="E64" s="126"/>
      <c r="F64" s="126">
        <v>0</v>
      </c>
    </row>
    <row r="65" spans="1:6" s="199" customFormat="1" ht="12" customHeight="1" x14ac:dyDescent="0.2">
      <c r="A65" s="12" t="s">
        <v>284</v>
      </c>
      <c r="B65" s="201" t="s">
        <v>246</v>
      </c>
      <c r="C65" s="308">
        <f t="shared" si="0"/>
        <v>0</v>
      </c>
      <c r="D65" s="265"/>
      <c r="E65" s="126"/>
      <c r="F65" s="126"/>
    </row>
    <row r="66" spans="1:6" s="199" customFormat="1" ht="12" customHeight="1" thickBot="1" x14ac:dyDescent="0.25">
      <c r="A66" s="14" t="s">
        <v>285</v>
      </c>
      <c r="B66" s="251" t="s">
        <v>452</v>
      </c>
      <c r="C66" s="309">
        <f t="shared" si="0"/>
        <v>0</v>
      </c>
      <c r="D66" s="265"/>
      <c r="E66" s="126"/>
      <c r="F66" s="126"/>
    </row>
    <row r="67" spans="1:6" s="199" customFormat="1" ht="12" customHeight="1" thickBot="1" x14ac:dyDescent="0.25">
      <c r="A67" s="250" t="s">
        <v>248</v>
      </c>
      <c r="B67" s="117" t="s">
        <v>249</v>
      </c>
      <c r="C67" s="310">
        <f t="shared" si="0"/>
        <v>0</v>
      </c>
      <c r="D67" s="281">
        <f>SUM(D68:D71)</f>
        <v>0</v>
      </c>
      <c r="E67" s="122">
        <f>SUM(E68:E71)</f>
        <v>0</v>
      </c>
      <c r="F67" s="122">
        <f>SUM(F68:F71)</f>
        <v>0</v>
      </c>
    </row>
    <row r="68" spans="1:6" s="199" customFormat="1" ht="12" customHeight="1" x14ac:dyDescent="0.2">
      <c r="A68" s="13" t="s">
        <v>122</v>
      </c>
      <c r="B68" s="200" t="s">
        <v>250</v>
      </c>
      <c r="C68" s="195">
        <f t="shared" si="0"/>
        <v>0</v>
      </c>
      <c r="D68" s="265"/>
      <c r="E68" s="126"/>
      <c r="F68" s="126"/>
    </row>
    <row r="69" spans="1:6" s="199" customFormat="1" ht="12" customHeight="1" x14ac:dyDescent="0.2">
      <c r="A69" s="12" t="s">
        <v>123</v>
      </c>
      <c r="B69" s="201" t="s">
        <v>251</v>
      </c>
      <c r="C69" s="308">
        <f t="shared" ref="C69:C87" si="2">SUM(D69:F69)</f>
        <v>0</v>
      </c>
      <c r="D69" s="265"/>
      <c r="E69" s="126"/>
      <c r="F69" s="126"/>
    </row>
    <row r="70" spans="1:6" s="199" customFormat="1" ht="12" customHeight="1" x14ac:dyDescent="0.2">
      <c r="A70" s="12" t="s">
        <v>276</v>
      </c>
      <c r="B70" s="201" t="s">
        <v>252</v>
      </c>
      <c r="C70" s="308">
        <f t="shared" si="2"/>
        <v>0</v>
      </c>
      <c r="D70" s="265"/>
      <c r="E70" s="126"/>
      <c r="F70" s="126"/>
    </row>
    <row r="71" spans="1:6" s="199" customFormat="1" ht="12" customHeight="1" thickBot="1" x14ac:dyDescent="0.25">
      <c r="A71" s="14" t="s">
        <v>277</v>
      </c>
      <c r="B71" s="119" t="s">
        <v>253</v>
      </c>
      <c r="C71" s="309">
        <f t="shared" si="2"/>
        <v>0</v>
      </c>
      <c r="D71" s="265"/>
      <c r="E71" s="126"/>
      <c r="F71" s="126"/>
    </row>
    <row r="72" spans="1:6" s="199" customFormat="1" ht="12" customHeight="1" thickBot="1" x14ac:dyDescent="0.25">
      <c r="A72" s="250" t="s">
        <v>254</v>
      </c>
      <c r="B72" s="117" t="s">
        <v>255</v>
      </c>
      <c r="C72" s="122">
        <f t="shared" si="2"/>
        <v>9446650</v>
      </c>
      <c r="D72" s="281">
        <f>SUM(D73:D74)</f>
        <v>0</v>
      </c>
      <c r="E72" s="122">
        <f>SUM(E73:E74)</f>
        <v>0</v>
      </c>
      <c r="F72" s="122">
        <f>SUM(F73:F74)</f>
        <v>9446650</v>
      </c>
    </row>
    <row r="73" spans="1:6" s="199" customFormat="1" ht="12" customHeight="1" x14ac:dyDescent="0.2">
      <c r="A73" s="13" t="s">
        <v>278</v>
      </c>
      <c r="B73" s="200" t="s">
        <v>256</v>
      </c>
      <c r="C73" s="195">
        <f t="shared" si="2"/>
        <v>9446650</v>
      </c>
      <c r="D73" s="265"/>
      <c r="E73" s="126"/>
      <c r="F73" s="126">
        <v>9446650</v>
      </c>
    </row>
    <row r="74" spans="1:6" s="199" customFormat="1" ht="12" customHeight="1" thickBot="1" x14ac:dyDescent="0.25">
      <c r="A74" s="14" t="s">
        <v>279</v>
      </c>
      <c r="B74" s="119" t="s">
        <v>257</v>
      </c>
      <c r="C74" s="309">
        <f t="shared" si="2"/>
        <v>0</v>
      </c>
      <c r="D74" s="265"/>
      <c r="E74" s="126"/>
      <c r="F74" s="126"/>
    </row>
    <row r="75" spans="1:6" s="199" customFormat="1" ht="12" customHeight="1" thickBot="1" x14ac:dyDescent="0.25">
      <c r="A75" s="250" t="s">
        <v>258</v>
      </c>
      <c r="B75" s="117" t="s">
        <v>259</v>
      </c>
      <c r="C75" s="122">
        <f t="shared" si="2"/>
        <v>0</v>
      </c>
      <c r="D75" s="281">
        <f>SUM(D76:D78)</f>
        <v>0</v>
      </c>
      <c r="E75" s="122">
        <f>SUM(E76:E78)</f>
        <v>0</v>
      </c>
      <c r="F75" s="122">
        <f>SUM(F76:F78)</f>
        <v>0</v>
      </c>
    </row>
    <row r="76" spans="1:6" s="199" customFormat="1" ht="12" customHeight="1" x14ac:dyDescent="0.2">
      <c r="A76" s="13" t="s">
        <v>280</v>
      </c>
      <c r="B76" s="200" t="s">
        <v>260</v>
      </c>
      <c r="C76" s="195">
        <f t="shared" si="2"/>
        <v>0</v>
      </c>
      <c r="D76" s="265"/>
      <c r="E76" s="126"/>
      <c r="F76" s="126"/>
    </row>
    <row r="77" spans="1:6" s="199" customFormat="1" ht="12" customHeight="1" x14ac:dyDescent="0.2">
      <c r="A77" s="12" t="s">
        <v>281</v>
      </c>
      <c r="B77" s="201" t="s">
        <v>261</v>
      </c>
      <c r="C77" s="308">
        <f t="shared" si="2"/>
        <v>0</v>
      </c>
      <c r="D77" s="265"/>
      <c r="E77" s="126"/>
      <c r="F77" s="126"/>
    </row>
    <row r="78" spans="1:6" s="199" customFormat="1" ht="12" customHeight="1" thickBot="1" x14ac:dyDescent="0.25">
      <c r="A78" s="14" t="s">
        <v>282</v>
      </c>
      <c r="B78" s="119" t="s">
        <v>262</v>
      </c>
      <c r="C78" s="309">
        <f t="shared" si="2"/>
        <v>0</v>
      </c>
      <c r="D78" s="265"/>
      <c r="E78" s="126"/>
      <c r="F78" s="126"/>
    </row>
    <row r="79" spans="1:6" s="199" customFormat="1" ht="12" customHeight="1" thickBot="1" x14ac:dyDescent="0.25">
      <c r="A79" s="250" t="s">
        <v>263</v>
      </c>
      <c r="B79" s="117" t="s">
        <v>283</v>
      </c>
      <c r="C79" s="122">
        <f t="shared" si="2"/>
        <v>0</v>
      </c>
      <c r="D79" s="281">
        <f>SUM(D80:D83)</f>
        <v>0</v>
      </c>
      <c r="E79" s="122">
        <f>SUM(E80:E83)</f>
        <v>0</v>
      </c>
      <c r="F79" s="122">
        <f>SUM(F80:F83)</f>
        <v>0</v>
      </c>
    </row>
    <row r="80" spans="1:6" s="199" customFormat="1" ht="12" customHeight="1" x14ac:dyDescent="0.2">
      <c r="A80" s="204" t="s">
        <v>264</v>
      </c>
      <c r="B80" s="200" t="s">
        <v>265</v>
      </c>
      <c r="C80" s="195">
        <f t="shared" si="2"/>
        <v>0</v>
      </c>
      <c r="D80" s="265"/>
      <c r="E80" s="126"/>
      <c r="F80" s="126"/>
    </row>
    <row r="81" spans="1:6" s="199" customFormat="1" ht="12" customHeight="1" x14ac:dyDescent="0.2">
      <c r="A81" s="205" t="s">
        <v>266</v>
      </c>
      <c r="B81" s="201" t="s">
        <v>267</v>
      </c>
      <c r="C81" s="308">
        <f t="shared" si="2"/>
        <v>0</v>
      </c>
      <c r="D81" s="265"/>
      <c r="E81" s="126"/>
      <c r="F81" s="126"/>
    </row>
    <row r="82" spans="1:6" s="199" customFormat="1" ht="12" customHeight="1" x14ac:dyDescent="0.2">
      <c r="A82" s="205" t="s">
        <v>268</v>
      </c>
      <c r="B82" s="201" t="s">
        <v>269</v>
      </c>
      <c r="C82" s="308">
        <f t="shared" si="2"/>
        <v>0</v>
      </c>
      <c r="D82" s="265"/>
      <c r="E82" s="126"/>
      <c r="F82" s="126"/>
    </row>
    <row r="83" spans="1:6" s="199" customFormat="1" ht="12" customHeight="1" thickBot="1" x14ac:dyDescent="0.25">
      <c r="A83" s="206" t="s">
        <v>270</v>
      </c>
      <c r="B83" s="119" t="s">
        <v>271</v>
      </c>
      <c r="C83" s="309">
        <f t="shared" si="2"/>
        <v>0</v>
      </c>
      <c r="D83" s="265"/>
      <c r="E83" s="126"/>
      <c r="F83" s="126"/>
    </row>
    <row r="84" spans="1:6" s="199" customFormat="1" ht="12" customHeight="1" thickBot="1" x14ac:dyDescent="0.25">
      <c r="A84" s="250" t="s">
        <v>272</v>
      </c>
      <c r="B84" s="117" t="s">
        <v>453</v>
      </c>
      <c r="C84" s="122">
        <f t="shared" si="2"/>
        <v>0</v>
      </c>
      <c r="D84" s="286"/>
      <c r="E84" s="239"/>
      <c r="F84" s="239"/>
    </row>
    <row r="85" spans="1:6" s="199" customFormat="1" ht="13.5" customHeight="1" thickBot="1" x14ac:dyDescent="0.25">
      <c r="A85" s="250" t="s">
        <v>274</v>
      </c>
      <c r="B85" s="117" t="s">
        <v>273</v>
      </c>
      <c r="C85" s="122">
        <f t="shared" si="2"/>
        <v>0</v>
      </c>
      <c r="D85" s="286"/>
      <c r="E85" s="239"/>
      <c r="F85" s="239"/>
    </row>
    <row r="86" spans="1:6" s="199" customFormat="1" ht="15.75" customHeight="1" thickBot="1" x14ac:dyDescent="0.25">
      <c r="A86" s="250" t="s">
        <v>286</v>
      </c>
      <c r="B86" s="207" t="s">
        <v>454</v>
      </c>
      <c r="C86" s="122">
        <f t="shared" si="2"/>
        <v>9446650</v>
      </c>
      <c r="D86" s="284">
        <f>+D63+D67+D72+D75+D79+D85+D84</f>
        <v>0</v>
      </c>
      <c r="E86" s="127">
        <f>+E63+E67+E72+E75+E79+E85+E84</f>
        <v>0</v>
      </c>
      <c r="F86" s="127">
        <f>+F63+F67+F72+F75+F79+F85+F84</f>
        <v>9446650</v>
      </c>
    </row>
    <row r="87" spans="1:6" s="199" customFormat="1" ht="16.5" customHeight="1" thickBot="1" x14ac:dyDescent="0.25">
      <c r="A87" s="252" t="s">
        <v>455</v>
      </c>
      <c r="B87" s="208" t="s">
        <v>456</v>
      </c>
      <c r="C87" s="122">
        <f t="shared" si="2"/>
        <v>676465140</v>
      </c>
      <c r="D87" s="284">
        <f>+D62+D86</f>
        <v>388535789</v>
      </c>
      <c r="E87" s="127">
        <f>+E62+E86</f>
        <v>0</v>
      </c>
      <c r="F87" s="127">
        <f>+F62+F86</f>
        <v>287929351</v>
      </c>
    </row>
    <row r="88" spans="1:6" s="199" customFormat="1" ht="83.25" customHeight="1" x14ac:dyDescent="0.2">
      <c r="A88" s="3"/>
      <c r="B88" s="4"/>
      <c r="C88" s="128"/>
    </row>
    <row r="89" spans="1:6" ht="16.5" customHeight="1" x14ac:dyDescent="0.25">
      <c r="A89" s="1172" t="s">
        <v>47</v>
      </c>
      <c r="B89" s="1172"/>
      <c r="C89" s="1172"/>
    </row>
    <row r="90" spans="1:6" s="209" customFormat="1" ht="16.5" customHeight="1" thickBot="1" x14ac:dyDescent="0.3">
      <c r="A90" s="1173" t="s">
        <v>125</v>
      </c>
      <c r="B90" s="1173"/>
      <c r="C90" s="69" t="s">
        <v>552</v>
      </c>
    </row>
    <row r="91" spans="1:6" ht="38.1" customHeight="1" thickBot="1" x14ac:dyDescent="0.3">
      <c r="A91" s="21" t="s">
        <v>70</v>
      </c>
      <c r="B91" s="22" t="s">
        <v>48</v>
      </c>
      <c r="C91" s="32" t="str">
        <f>+C3</f>
        <v>2019. évi előirányzat</v>
      </c>
    </row>
    <row r="92" spans="1:6" s="198" customFormat="1" ht="12" customHeight="1" thickBot="1" x14ac:dyDescent="0.25">
      <c r="A92" s="28" t="s">
        <v>443</v>
      </c>
      <c r="B92" s="29" t="s">
        <v>444</v>
      </c>
      <c r="C92" s="30" t="s">
        <v>445</v>
      </c>
    </row>
    <row r="93" spans="1:6" ht="12" customHeight="1" thickBot="1" x14ac:dyDescent="0.3">
      <c r="A93" s="20" t="s">
        <v>19</v>
      </c>
      <c r="B93" s="24" t="s">
        <v>494</v>
      </c>
      <c r="C93" s="122">
        <f t="shared" ref="C93:C154" si="3">SUM(D93:F93)</f>
        <v>764762427</v>
      </c>
      <c r="D93" s="289">
        <f>+D94+D95+D96+D97+D98+D111</f>
        <v>168151654</v>
      </c>
      <c r="E93" s="121">
        <f>+E94+E95+E96+E97+E98+E111</f>
        <v>0</v>
      </c>
      <c r="F93" s="122">
        <f>F94+F95+F96+F97+F98+F111</f>
        <v>596610773</v>
      </c>
    </row>
    <row r="94" spans="1:6" ht="12" customHeight="1" x14ac:dyDescent="0.25">
      <c r="A94" s="15" t="s">
        <v>95</v>
      </c>
      <c r="B94" s="8" t="s">
        <v>49</v>
      </c>
      <c r="C94" s="925">
        <f t="shared" si="3"/>
        <v>405691712</v>
      </c>
      <c r="D94" s="300">
        <f>2787126+61829+2528076+47565+80000+80000+4734935+49768233+637324+729700+60774-1772727</f>
        <v>59742835</v>
      </c>
      <c r="E94" s="273"/>
      <c r="F94" s="273">
        <f>344559877+1389000</f>
        <v>345948877</v>
      </c>
    </row>
    <row r="95" spans="1:6" ht="12" customHeight="1" x14ac:dyDescent="0.25">
      <c r="A95" s="12" t="s">
        <v>96</v>
      </c>
      <c r="B95" s="6" t="s">
        <v>144</v>
      </c>
      <c r="C95" s="921">
        <f t="shared" si="3"/>
        <v>84921693</v>
      </c>
      <c r="D95" s="265">
        <f>1409889+7817+14227+10944+444000+24592+15600+15600+825169+13207297-2705481-672116+127698+29599-242727</f>
        <v>12512108</v>
      </c>
      <c r="E95" s="126"/>
      <c r="F95" s="126">
        <f>72138727+270858</f>
        <v>72409585</v>
      </c>
    </row>
    <row r="96" spans="1:6" ht="12" customHeight="1" x14ac:dyDescent="0.25">
      <c r="A96" s="12" t="s">
        <v>97</v>
      </c>
      <c r="B96" s="6" t="s">
        <v>120</v>
      </c>
      <c r="C96" s="921">
        <f t="shared" si="3"/>
        <v>259888521</v>
      </c>
      <c r="D96" s="269">
        <f>4192823+96000+13277327+3082677+45600000+4500000+45669+157480+54851+3760587+259082+437750-72157-64842+35681+3292441+84315+3738914+96000+412352+2771694-700000</f>
        <v>85058644</v>
      </c>
      <c r="E96" s="189"/>
      <c r="F96" s="126">
        <f>215900+20320+174593657</f>
        <v>174829877</v>
      </c>
    </row>
    <row r="97" spans="1:6" ht="12" customHeight="1" x14ac:dyDescent="0.25">
      <c r="A97" s="12" t="s">
        <v>98</v>
      </c>
      <c r="B97" s="6" t="s">
        <v>145</v>
      </c>
      <c r="C97" s="305">
        <f t="shared" si="3"/>
        <v>0</v>
      </c>
      <c r="D97" s="269"/>
      <c r="E97" s="189"/>
      <c r="F97" s="126"/>
    </row>
    <row r="98" spans="1:6" ht="12" customHeight="1" x14ac:dyDescent="0.25">
      <c r="A98" s="12" t="s">
        <v>109</v>
      </c>
      <c r="B98" s="5" t="s">
        <v>146</v>
      </c>
      <c r="C98" s="305">
        <f>SUM(D98:F98)</f>
        <v>14260501</v>
      </c>
      <c r="D98" s="269">
        <f>SUM(D99:D110)</f>
        <v>10838067</v>
      </c>
      <c r="E98" s="269">
        <f t="shared" ref="E98:F98" si="4">SUM(E99:E110)</f>
        <v>0</v>
      </c>
      <c r="F98" s="269">
        <f t="shared" si="4"/>
        <v>3422434</v>
      </c>
    </row>
    <row r="99" spans="1:6" ht="12" customHeight="1" x14ac:dyDescent="0.25">
      <c r="A99" s="12" t="s">
        <v>99</v>
      </c>
      <c r="B99" s="6" t="s">
        <v>457</v>
      </c>
      <c r="C99" s="305">
        <f t="shared" si="3"/>
        <v>3200000</v>
      </c>
      <c r="D99" s="269">
        <f>3200000</f>
        <v>3200000</v>
      </c>
      <c r="E99" s="189"/>
      <c r="F99" s="189"/>
    </row>
    <row r="100" spans="1:6" ht="12" customHeight="1" x14ac:dyDescent="0.25">
      <c r="A100" s="12" t="s">
        <v>100</v>
      </c>
      <c r="B100" s="73" t="s">
        <v>458</v>
      </c>
      <c r="C100" s="308">
        <f t="shared" si="3"/>
        <v>0</v>
      </c>
      <c r="D100" s="269"/>
      <c r="E100" s="189"/>
      <c r="F100" s="189"/>
    </row>
    <row r="101" spans="1:6" ht="12" customHeight="1" x14ac:dyDescent="0.25">
      <c r="A101" s="12" t="s">
        <v>110</v>
      </c>
      <c r="B101" s="73" t="s">
        <v>459</v>
      </c>
      <c r="C101" s="308">
        <f t="shared" si="3"/>
        <v>0</v>
      </c>
      <c r="D101" s="269"/>
      <c r="E101" s="189"/>
      <c r="F101" s="189"/>
    </row>
    <row r="102" spans="1:6" ht="12" customHeight="1" x14ac:dyDescent="0.25">
      <c r="A102" s="12" t="s">
        <v>111</v>
      </c>
      <c r="B102" s="71" t="s">
        <v>289</v>
      </c>
      <c r="C102" s="308">
        <f t="shared" si="3"/>
        <v>0</v>
      </c>
      <c r="D102" s="269"/>
      <c r="E102" s="189"/>
      <c r="F102" s="189"/>
    </row>
    <row r="103" spans="1:6" ht="12" customHeight="1" x14ac:dyDescent="0.25">
      <c r="A103" s="12" t="s">
        <v>112</v>
      </c>
      <c r="B103" s="72" t="s">
        <v>290</v>
      </c>
      <c r="C103" s="308">
        <f t="shared" si="3"/>
        <v>0</v>
      </c>
      <c r="D103" s="269"/>
      <c r="E103" s="189"/>
      <c r="F103" s="189"/>
    </row>
    <row r="104" spans="1:6" ht="12" customHeight="1" x14ac:dyDescent="0.25">
      <c r="A104" s="12" t="s">
        <v>113</v>
      </c>
      <c r="B104" s="72" t="s">
        <v>291</v>
      </c>
      <c r="C104" s="308">
        <f t="shared" si="3"/>
        <v>0</v>
      </c>
      <c r="D104" s="269"/>
      <c r="E104" s="189"/>
      <c r="F104" s="189"/>
    </row>
    <row r="105" spans="1:6" ht="12" customHeight="1" x14ac:dyDescent="0.25">
      <c r="A105" s="12" t="s">
        <v>115</v>
      </c>
      <c r="B105" s="71" t="s">
        <v>292</v>
      </c>
      <c r="C105" s="305">
        <f t="shared" si="3"/>
        <v>3422434</v>
      </c>
      <c r="D105" s="269"/>
      <c r="E105" s="189"/>
      <c r="F105" s="189">
        <v>3422434</v>
      </c>
    </row>
    <row r="106" spans="1:6" ht="12" customHeight="1" x14ac:dyDescent="0.25">
      <c r="A106" s="12" t="s">
        <v>147</v>
      </c>
      <c r="B106" s="71" t="s">
        <v>293</v>
      </c>
      <c r="C106" s="305">
        <f t="shared" si="3"/>
        <v>0</v>
      </c>
      <c r="D106" s="269"/>
      <c r="E106" s="189"/>
      <c r="F106" s="189"/>
    </row>
    <row r="107" spans="1:6" ht="12" customHeight="1" x14ac:dyDescent="0.25">
      <c r="A107" s="12" t="s">
        <v>287</v>
      </c>
      <c r="B107" s="72" t="s">
        <v>294</v>
      </c>
      <c r="C107" s="305">
        <f t="shared" si="3"/>
        <v>400000</v>
      </c>
      <c r="D107" s="269">
        <v>400000</v>
      </c>
      <c r="E107" s="189"/>
      <c r="F107" s="189"/>
    </row>
    <row r="108" spans="1:6" ht="12" customHeight="1" x14ac:dyDescent="0.25">
      <c r="A108" s="11" t="s">
        <v>288</v>
      </c>
      <c r="B108" s="73" t="s">
        <v>295</v>
      </c>
      <c r="C108" s="308">
        <f t="shared" si="3"/>
        <v>0</v>
      </c>
      <c r="D108" s="269"/>
      <c r="E108" s="189"/>
      <c r="F108" s="189"/>
    </row>
    <row r="109" spans="1:6" ht="12" customHeight="1" x14ac:dyDescent="0.25">
      <c r="A109" s="12" t="s">
        <v>460</v>
      </c>
      <c r="B109" s="73" t="s">
        <v>296</v>
      </c>
      <c r="C109" s="308">
        <f t="shared" si="3"/>
        <v>0</v>
      </c>
      <c r="D109" s="269"/>
      <c r="E109" s="189"/>
      <c r="F109" s="189"/>
    </row>
    <row r="110" spans="1:6" ht="12" customHeight="1" x14ac:dyDescent="0.25">
      <c r="A110" s="14" t="s">
        <v>461</v>
      </c>
      <c r="B110" s="73" t="s">
        <v>297</v>
      </c>
      <c r="C110" s="305">
        <f t="shared" si="3"/>
        <v>7238067</v>
      </c>
      <c r="D110" s="265">
        <f>5000000+800000+50000+50000+1338067</f>
        <v>7238067</v>
      </c>
      <c r="E110" s="126"/>
      <c r="F110" s="277"/>
    </row>
    <row r="111" spans="1:6" ht="12" customHeight="1" x14ac:dyDescent="0.25">
      <c r="A111" s="12" t="s">
        <v>462</v>
      </c>
      <c r="B111" s="6" t="s">
        <v>50</v>
      </c>
      <c r="C111" s="308">
        <f t="shared" si="3"/>
        <v>0</v>
      </c>
      <c r="D111" s="111"/>
      <c r="E111" s="126"/>
      <c r="F111" s="123"/>
    </row>
    <row r="112" spans="1:6" ht="12" customHeight="1" x14ac:dyDescent="0.25">
      <c r="A112" s="12" t="s">
        <v>463</v>
      </c>
      <c r="B112" s="6" t="s">
        <v>464</v>
      </c>
      <c r="C112" s="308">
        <f t="shared" si="3"/>
        <v>0</v>
      </c>
      <c r="D112" s="112"/>
      <c r="E112" s="189"/>
      <c r="F112" s="123"/>
    </row>
    <row r="113" spans="1:6" ht="12" customHeight="1" thickBot="1" x14ac:dyDescent="0.3">
      <c r="A113" s="16" t="s">
        <v>465</v>
      </c>
      <c r="B113" s="253" t="s">
        <v>466</v>
      </c>
      <c r="C113" s="308">
        <f t="shared" si="3"/>
        <v>0</v>
      </c>
      <c r="D113" s="290"/>
      <c r="E113" s="278"/>
      <c r="F113" s="129"/>
    </row>
    <row r="114" spans="1:6" ht="12" customHeight="1" thickBot="1" x14ac:dyDescent="0.3">
      <c r="A114" s="254" t="s">
        <v>20</v>
      </c>
      <c r="B114" s="255" t="s">
        <v>298</v>
      </c>
      <c r="C114" s="122">
        <f t="shared" si="3"/>
        <v>32404332</v>
      </c>
      <c r="D114" s="281">
        <f>+D115+D117+D119</f>
        <v>18978033</v>
      </c>
      <c r="E114" s="122">
        <f>+E115+E117+E119</f>
        <v>0</v>
      </c>
      <c r="F114" s="256">
        <f>+F115+F117+F119</f>
        <v>13426299</v>
      </c>
    </row>
    <row r="115" spans="1:6" ht="12" customHeight="1" x14ac:dyDescent="0.25">
      <c r="A115" s="13" t="s">
        <v>101</v>
      </c>
      <c r="B115" s="6" t="s">
        <v>163</v>
      </c>
      <c r="C115" s="923">
        <f t="shared" si="3"/>
        <v>32095352</v>
      </c>
      <c r="D115" s="285">
        <f>300000+12076323+5000+75250+2583220+2457900+1480340</f>
        <v>18978033</v>
      </c>
      <c r="E115" s="238"/>
      <c r="F115" s="238">
        <v>13117319</v>
      </c>
    </row>
    <row r="116" spans="1:6" ht="12" customHeight="1" x14ac:dyDescent="0.25">
      <c r="A116" s="13" t="s">
        <v>102</v>
      </c>
      <c r="B116" s="10" t="s">
        <v>302</v>
      </c>
      <c r="C116" s="305">
        <f t="shared" si="3"/>
        <v>13886174</v>
      </c>
      <c r="D116" s="285">
        <f>12076323+1092200</f>
        <v>13168523</v>
      </c>
      <c r="E116" s="238"/>
      <c r="F116" s="238">
        <v>717651</v>
      </c>
    </row>
    <row r="117" spans="1:6" ht="12" customHeight="1" x14ac:dyDescent="0.25">
      <c r="A117" s="13" t="s">
        <v>103</v>
      </c>
      <c r="B117" s="10" t="s">
        <v>148</v>
      </c>
      <c r="C117" s="308">
        <f t="shared" si="3"/>
        <v>0</v>
      </c>
      <c r="D117" s="111"/>
      <c r="E117" s="126"/>
      <c r="F117" s="126"/>
    </row>
    <row r="118" spans="1:6" ht="12" customHeight="1" x14ac:dyDescent="0.25">
      <c r="A118" s="13" t="s">
        <v>104</v>
      </c>
      <c r="B118" s="10" t="s">
        <v>303</v>
      </c>
      <c r="C118" s="308">
        <f t="shared" si="3"/>
        <v>0</v>
      </c>
      <c r="D118" s="111"/>
      <c r="E118" s="276"/>
      <c r="F118" s="265"/>
    </row>
    <row r="119" spans="1:6" ht="12" customHeight="1" x14ac:dyDescent="0.25">
      <c r="A119" s="13" t="s">
        <v>105</v>
      </c>
      <c r="B119" s="119" t="s">
        <v>165</v>
      </c>
      <c r="C119" s="111">
        <f>SUM(C120:C127)</f>
        <v>308980</v>
      </c>
      <c r="D119" s="111">
        <f t="shared" ref="D119:F119" si="5">SUM(D120:D127)</f>
        <v>0</v>
      </c>
      <c r="E119" s="111">
        <f t="shared" si="5"/>
        <v>0</v>
      </c>
      <c r="F119" s="111">
        <f t="shared" si="5"/>
        <v>308980</v>
      </c>
    </row>
    <row r="120" spans="1:6" ht="12" customHeight="1" x14ac:dyDescent="0.25">
      <c r="A120" s="13" t="s">
        <v>114</v>
      </c>
      <c r="B120" s="118" t="s">
        <v>365</v>
      </c>
      <c r="C120" s="308">
        <f t="shared" si="3"/>
        <v>0</v>
      </c>
      <c r="D120" s="270"/>
      <c r="E120" s="111"/>
      <c r="F120" s="111"/>
    </row>
    <row r="121" spans="1:6" ht="12" customHeight="1" x14ac:dyDescent="0.25">
      <c r="A121" s="13" t="s">
        <v>116</v>
      </c>
      <c r="B121" s="196" t="s">
        <v>308</v>
      </c>
      <c r="C121" s="308">
        <f t="shared" si="3"/>
        <v>0</v>
      </c>
      <c r="D121" s="270"/>
      <c r="E121" s="111"/>
      <c r="F121" s="111"/>
    </row>
    <row r="122" spans="1:6" x14ac:dyDescent="0.25">
      <c r="A122" s="13" t="s">
        <v>149</v>
      </c>
      <c r="B122" s="72" t="s">
        <v>291</v>
      </c>
      <c r="C122" s="308">
        <f t="shared" si="3"/>
        <v>0</v>
      </c>
      <c r="D122" s="270"/>
      <c r="E122" s="111"/>
      <c r="F122" s="111"/>
    </row>
    <row r="123" spans="1:6" ht="12" customHeight="1" x14ac:dyDescent="0.25">
      <c r="A123" s="13" t="s">
        <v>150</v>
      </c>
      <c r="B123" s="72" t="s">
        <v>307</v>
      </c>
      <c r="C123" s="305">
        <f t="shared" si="3"/>
        <v>308980</v>
      </c>
      <c r="D123" s="270"/>
      <c r="E123" s="111"/>
      <c r="F123" s="111">
        <v>308980</v>
      </c>
    </row>
    <row r="124" spans="1:6" ht="12" customHeight="1" x14ac:dyDescent="0.25">
      <c r="A124" s="13" t="s">
        <v>151</v>
      </c>
      <c r="B124" s="72" t="s">
        <v>306</v>
      </c>
      <c r="C124" s="308">
        <f t="shared" si="3"/>
        <v>0</v>
      </c>
      <c r="D124" s="270"/>
      <c r="E124" s="111"/>
      <c r="F124" s="111"/>
    </row>
    <row r="125" spans="1:6" ht="12" customHeight="1" x14ac:dyDescent="0.25">
      <c r="A125" s="13" t="s">
        <v>299</v>
      </c>
      <c r="B125" s="72" t="s">
        <v>294</v>
      </c>
      <c r="C125" s="308">
        <f t="shared" si="3"/>
        <v>0</v>
      </c>
      <c r="D125" s="270"/>
      <c r="E125" s="111"/>
      <c r="F125" s="111"/>
    </row>
    <row r="126" spans="1:6" ht="12" customHeight="1" x14ac:dyDescent="0.25">
      <c r="A126" s="13" t="s">
        <v>300</v>
      </c>
      <c r="B126" s="72" t="s">
        <v>305</v>
      </c>
      <c r="C126" s="308">
        <f t="shared" si="3"/>
        <v>0</v>
      </c>
      <c r="D126" s="270"/>
      <c r="E126" s="111"/>
      <c r="F126" s="111"/>
    </row>
    <row r="127" spans="1:6" ht="16.5" thickBot="1" x14ac:dyDescent="0.3">
      <c r="A127" s="11" t="s">
        <v>301</v>
      </c>
      <c r="B127" s="72" t="s">
        <v>304</v>
      </c>
      <c r="C127" s="309">
        <f t="shared" si="3"/>
        <v>0</v>
      </c>
      <c r="D127" s="271"/>
      <c r="E127" s="269"/>
      <c r="F127" s="269"/>
    </row>
    <row r="128" spans="1:6" ht="12" customHeight="1" thickBot="1" x14ac:dyDescent="0.3">
      <c r="A128" s="18" t="s">
        <v>21</v>
      </c>
      <c r="B128" s="67" t="s">
        <v>467</v>
      </c>
      <c r="C128" s="122">
        <f t="shared" si="3"/>
        <v>797166759</v>
      </c>
      <c r="D128" s="281">
        <f>+D93+D114</f>
        <v>187129687</v>
      </c>
      <c r="E128" s="122">
        <f>+E93+E114</f>
        <v>0</v>
      </c>
      <c r="F128" s="122">
        <f>+F93+F114</f>
        <v>610037072</v>
      </c>
    </row>
    <row r="129" spans="1:6" ht="12" customHeight="1" thickBot="1" x14ac:dyDescent="0.3">
      <c r="A129" s="18" t="s">
        <v>22</v>
      </c>
      <c r="B129" s="67" t="s">
        <v>468</v>
      </c>
      <c r="C129" s="122">
        <f t="shared" si="3"/>
        <v>5278000</v>
      </c>
      <c r="D129" s="281">
        <f>+D130+D131+D132</f>
        <v>5278000</v>
      </c>
      <c r="E129" s="122">
        <f>+E130+E131+E132</f>
        <v>0</v>
      </c>
      <c r="F129" s="122">
        <f>+F130+F131+F132</f>
        <v>0</v>
      </c>
    </row>
    <row r="130" spans="1:6" ht="12" customHeight="1" x14ac:dyDescent="0.25">
      <c r="A130" s="13" t="s">
        <v>200</v>
      </c>
      <c r="B130" s="10" t="s">
        <v>469</v>
      </c>
      <c r="C130" s="195">
        <f t="shared" si="3"/>
        <v>5278000</v>
      </c>
      <c r="D130" s="265">
        <f>5278000</f>
        <v>5278000</v>
      </c>
      <c r="E130" s="265"/>
      <c r="F130" s="265"/>
    </row>
    <row r="131" spans="1:6" ht="12" customHeight="1" x14ac:dyDescent="0.25">
      <c r="A131" s="13" t="s">
        <v>203</v>
      </c>
      <c r="B131" s="10" t="s">
        <v>470</v>
      </c>
      <c r="C131" s="308">
        <f t="shared" si="3"/>
        <v>0</v>
      </c>
      <c r="D131" s="111"/>
      <c r="E131" s="111"/>
      <c r="F131" s="111"/>
    </row>
    <row r="132" spans="1:6" ht="12" customHeight="1" thickBot="1" x14ac:dyDescent="0.3">
      <c r="A132" s="11" t="s">
        <v>204</v>
      </c>
      <c r="B132" s="10" t="s">
        <v>471</v>
      </c>
      <c r="C132" s="309">
        <f t="shared" si="3"/>
        <v>0</v>
      </c>
      <c r="D132" s="111"/>
      <c r="E132" s="111"/>
      <c r="F132" s="111"/>
    </row>
    <row r="133" spans="1:6" ht="12" customHeight="1" thickBot="1" x14ac:dyDescent="0.3">
      <c r="A133" s="18" t="s">
        <v>23</v>
      </c>
      <c r="B133" s="67" t="s">
        <v>472</v>
      </c>
      <c r="C133" s="310">
        <f t="shared" si="3"/>
        <v>0</v>
      </c>
      <c r="D133" s="281">
        <f>+D134+D135+D136+D137+D138+D139</f>
        <v>0</v>
      </c>
      <c r="E133" s="122">
        <f>+E134+E135+E136+E137+E138+E139</f>
        <v>0</v>
      </c>
      <c r="F133" s="122">
        <f>SUM(F134:F139)</f>
        <v>0</v>
      </c>
    </row>
    <row r="134" spans="1:6" ht="12" customHeight="1" x14ac:dyDescent="0.25">
      <c r="A134" s="13" t="s">
        <v>88</v>
      </c>
      <c r="B134" s="7" t="s">
        <v>473</v>
      </c>
      <c r="C134" s="195">
        <f t="shared" si="3"/>
        <v>0</v>
      </c>
      <c r="D134" s="111"/>
      <c r="E134" s="111"/>
      <c r="F134" s="111"/>
    </row>
    <row r="135" spans="1:6" ht="12" customHeight="1" x14ac:dyDescent="0.25">
      <c r="A135" s="13" t="s">
        <v>89</v>
      </c>
      <c r="B135" s="7" t="s">
        <v>474</v>
      </c>
      <c r="C135" s="308">
        <f t="shared" si="3"/>
        <v>0</v>
      </c>
      <c r="D135" s="111"/>
      <c r="E135" s="111"/>
      <c r="F135" s="111"/>
    </row>
    <row r="136" spans="1:6" ht="12" customHeight="1" x14ac:dyDescent="0.25">
      <c r="A136" s="13" t="s">
        <v>90</v>
      </c>
      <c r="B136" s="7" t="s">
        <v>475</v>
      </c>
      <c r="C136" s="308">
        <f t="shared" si="3"/>
        <v>0</v>
      </c>
      <c r="D136" s="111"/>
      <c r="E136" s="111"/>
      <c r="F136" s="111"/>
    </row>
    <row r="137" spans="1:6" ht="12" customHeight="1" x14ac:dyDescent="0.25">
      <c r="A137" s="13" t="s">
        <v>136</v>
      </c>
      <c r="B137" s="7" t="s">
        <v>476</v>
      </c>
      <c r="C137" s="308">
        <f t="shared" si="3"/>
        <v>0</v>
      </c>
      <c r="D137" s="111"/>
      <c r="E137" s="111"/>
      <c r="F137" s="111"/>
    </row>
    <row r="138" spans="1:6" ht="12" customHeight="1" x14ac:dyDescent="0.25">
      <c r="A138" s="13" t="s">
        <v>137</v>
      </c>
      <c r="B138" s="7" t="s">
        <v>477</v>
      </c>
      <c r="C138" s="308">
        <f t="shared" si="3"/>
        <v>0</v>
      </c>
      <c r="D138" s="111"/>
      <c r="E138" s="111"/>
      <c r="F138" s="111"/>
    </row>
    <row r="139" spans="1:6" ht="12" customHeight="1" thickBot="1" x14ac:dyDescent="0.3">
      <c r="A139" s="11" t="s">
        <v>138</v>
      </c>
      <c r="B139" s="7" t="s">
        <v>478</v>
      </c>
      <c r="C139" s="309">
        <f t="shared" si="3"/>
        <v>0</v>
      </c>
      <c r="D139" s="111"/>
      <c r="E139" s="111"/>
      <c r="F139" s="111"/>
    </row>
    <row r="140" spans="1:6" ht="12" customHeight="1" thickBot="1" x14ac:dyDescent="0.3">
      <c r="A140" s="18" t="s">
        <v>24</v>
      </c>
      <c r="B140" s="67" t="s">
        <v>479</v>
      </c>
      <c r="C140" s="122">
        <f t="shared" si="3"/>
        <v>0</v>
      </c>
      <c r="D140" s="284">
        <f>+D141+D142+D143+D144</f>
        <v>0</v>
      </c>
      <c r="E140" s="127">
        <f>+E141+E142+E143+E144</f>
        <v>0</v>
      </c>
      <c r="F140" s="127">
        <f>+F141+F142+F143+F144</f>
        <v>0</v>
      </c>
    </row>
    <row r="141" spans="1:6" ht="12" customHeight="1" x14ac:dyDescent="0.25">
      <c r="A141" s="13" t="s">
        <v>91</v>
      </c>
      <c r="B141" s="7" t="s">
        <v>309</v>
      </c>
      <c r="C141" s="195">
        <f t="shared" si="3"/>
        <v>0</v>
      </c>
      <c r="D141" s="111"/>
      <c r="E141" s="111"/>
      <c r="F141" s="111"/>
    </row>
    <row r="142" spans="1:6" ht="12" customHeight="1" x14ac:dyDescent="0.25">
      <c r="A142" s="13" t="s">
        <v>92</v>
      </c>
      <c r="B142" s="7" t="s">
        <v>310</v>
      </c>
      <c r="C142" s="308">
        <f t="shared" si="3"/>
        <v>0</v>
      </c>
      <c r="D142" s="111"/>
      <c r="E142" s="111"/>
      <c r="F142" s="111"/>
    </row>
    <row r="143" spans="1:6" ht="12" customHeight="1" x14ac:dyDescent="0.25">
      <c r="A143" s="13" t="s">
        <v>223</v>
      </c>
      <c r="B143" s="7" t="s">
        <v>480</v>
      </c>
      <c r="C143" s="308">
        <f t="shared" si="3"/>
        <v>0</v>
      </c>
      <c r="D143" s="111"/>
      <c r="E143" s="111"/>
      <c r="F143" s="111"/>
    </row>
    <row r="144" spans="1:6" ht="12" customHeight="1" thickBot="1" x14ac:dyDescent="0.3">
      <c r="A144" s="11" t="s">
        <v>224</v>
      </c>
      <c r="B144" s="5" t="s">
        <v>328</v>
      </c>
      <c r="C144" s="309">
        <f t="shared" si="3"/>
        <v>0</v>
      </c>
      <c r="D144" s="111"/>
      <c r="E144" s="111"/>
      <c r="F144" s="111"/>
    </row>
    <row r="145" spans="1:9" ht="12" customHeight="1" thickBot="1" x14ac:dyDescent="0.3">
      <c r="A145" s="18" t="s">
        <v>25</v>
      </c>
      <c r="B145" s="67" t="s">
        <v>481</v>
      </c>
      <c r="C145" s="122">
        <f t="shared" si="3"/>
        <v>0</v>
      </c>
      <c r="D145" s="291">
        <f>+D146+D147+D148+D149+D150</f>
        <v>0</v>
      </c>
      <c r="E145" s="130">
        <f>+E146+E147+E148+E149+E150</f>
        <v>0</v>
      </c>
      <c r="F145" s="130">
        <f>SUM(F146:F150)</f>
        <v>0</v>
      </c>
    </row>
    <row r="146" spans="1:9" ht="12" customHeight="1" x14ac:dyDescent="0.25">
      <c r="A146" s="13" t="s">
        <v>93</v>
      </c>
      <c r="B146" s="7" t="s">
        <v>482</v>
      </c>
      <c r="C146" s="195">
        <f t="shared" si="3"/>
        <v>0</v>
      </c>
      <c r="D146" s="111"/>
      <c r="E146" s="111"/>
      <c r="F146" s="111"/>
    </row>
    <row r="147" spans="1:9" ht="12" customHeight="1" x14ac:dyDescent="0.25">
      <c r="A147" s="13" t="s">
        <v>94</v>
      </c>
      <c r="B147" s="7" t="s">
        <v>483</v>
      </c>
      <c r="C147" s="308">
        <f t="shared" si="3"/>
        <v>0</v>
      </c>
      <c r="D147" s="111"/>
      <c r="E147" s="111"/>
      <c r="F147" s="111"/>
    </row>
    <row r="148" spans="1:9" ht="12" customHeight="1" x14ac:dyDescent="0.25">
      <c r="A148" s="13" t="s">
        <v>235</v>
      </c>
      <c r="B148" s="7" t="s">
        <v>484</v>
      </c>
      <c r="C148" s="308">
        <f t="shared" si="3"/>
        <v>0</v>
      </c>
      <c r="D148" s="111"/>
      <c r="E148" s="111"/>
      <c r="F148" s="111"/>
    </row>
    <row r="149" spans="1:9" ht="12" customHeight="1" x14ac:dyDescent="0.25">
      <c r="A149" s="13" t="s">
        <v>236</v>
      </c>
      <c r="B149" s="7" t="s">
        <v>485</v>
      </c>
      <c r="C149" s="308">
        <f t="shared" si="3"/>
        <v>0</v>
      </c>
      <c r="D149" s="111"/>
      <c r="E149" s="111"/>
      <c r="F149" s="111"/>
    </row>
    <row r="150" spans="1:9" ht="12" customHeight="1" thickBot="1" x14ac:dyDescent="0.3">
      <c r="A150" s="13" t="s">
        <v>486</v>
      </c>
      <c r="B150" s="7" t="s">
        <v>487</v>
      </c>
      <c r="C150" s="309">
        <f t="shared" si="3"/>
        <v>0</v>
      </c>
      <c r="D150" s="112"/>
      <c r="E150" s="112"/>
      <c r="F150" s="111"/>
    </row>
    <row r="151" spans="1:9" ht="12" customHeight="1" thickBot="1" x14ac:dyDescent="0.3">
      <c r="A151" s="18" t="s">
        <v>26</v>
      </c>
      <c r="B151" s="67" t="s">
        <v>488</v>
      </c>
      <c r="C151" s="122">
        <f t="shared" si="3"/>
        <v>0</v>
      </c>
      <c r="D151" s="291"/>
      <c r="E151" s="130"/>
      <c r="F151" s="257"/>
    </row>
    <row r="152" spans="1:9" ht="12" customHeight="1" thickBot="1" x14ac:dyDescent="0.3">
      <c r="A152" s="18" t="s">
        <v>27</v>
      </c>
      <c r="B152" s="67" t="s">
        <v>489</v>
      </c>
      <c r="C152" s="122">
        <f t="shared" si="3"/>
        <v>0</v>
      </c>
      <c r="D152" s="291"/>
      <c r="E152" s="130"/>
      <c r="F152" s="257"/>
    </row>
    <row r="153" spans="1:9" ht="15" customHeight="1" thickBot="1" x14ac:dyDescent="0.3">
      <c r="A153" s="18" t="s">
        <v>28</v>
      </c>
      <c r="B153" s="67" t="s">
        <v>490</v>
      </c>
      <c r="C153" s="122">
        <f t="shared" si="3"/>
        <v>5278000</v>
      </c>
      <c r="D153" s="292">
        <f>+D129+D133+D140+D145+D151+D152</f>
        <v>5278000</v>
      </c>
      <c r="E153" s="210">
        <f>+E129+E133+E140+E145+E151+E152</f>
        <v>0</v>
      </c>
      <c r="F153" s="210">
        <f>+F129+F133+F140+F145+F151+F152</f>
        <v>0</v>
      </c>
      <c r="G153" s="211"/>
      <c r="H153" s="211"/>
      <c r="I153" s="211"/>
    </row>
    <row r="154" spans="1:9" s="199" customFormat="1" ht="12.95" customHeight="1" thickBot="1" x14ac:dyDescent="0.25">
      <c r="A154" s="120" t="s">
        <v>29</v>
      </c>
      <c r="B154" s="185" t="s">
        <v>491</v>
      </c>
      <c r="C154" s="122">
        <f t="shared" si="3"/>
        <v>802444759</v>
      </c>
      <c r="D154" s="292">
        <f>+D128+D153</f>
        <v>192407687</v>
      </c>
      <c r="E154" s="210">
        <f>+E128+E153</f>
        <v>0</v>
      </c>
      <c r="F154" s="210">
        <f>+F128+F153</f>
        <v>610037072</v>
      </c>
    </row>
    <row r="155" spans="1:9" ht="7.5" customHeight="1" x14ac:dyDescent="0.25"/>
    <row r="156" spans="1:9" x14ac:dyDescent="0.25">
      <c r="A156" s="1174" t="s">
        <v>311</v>
      </c>
      <c r="B156" s="1174"/>
      <c r="C156" s="1174"/>
    </row>
    <row r="157" spans="1:9" ht="15" customHeight="1" thickBot="1" x14ac:dyDescent="0.3">
      <c r="A157" s="1171" t="s">
        <v>126</v>
      </c>
      <c r="B157" s="1171"/>
      <c r="C157" s="131" t="s">
        <v>552</v>
      </c>
    </row>
    <row r="158" spans="1:9" ht="13.5" customHeight="1" thickBot="1" x14ac:dyDescent="0.3">
      <c r="A158" s="18">
        <v>1</v>
      </c>
      <c r="B158" s="23" t="s">
        <v>492</v>
      </c>
      <c r="C158" s="122">
        <f>+C62-C128</f>
        <v>-130148269</v>
      </c>
    </row>
    <row r="159" spans="1:9" ht="27.75" customHeight="1" thickBot="1" x14ac:dyDescent="0.3">
      <c r="A159" s="18" t="s">
        <v>20</v>
      </c>
      <c r="B159" s="23" t="s">
        <v>493</v>
      </c>
      <c r="C159" s="122">
        <f>+C86-C153</f>
        <v>4168650</v>
      </c>
    </row>
    <row r="162" spans="4:4" x14ac:dyDescent="0.25">
      <c r="D162" s="211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4/2020.(II.28.)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D56"/>
  <sheetViews>
    <sheetView view="pageLayout" zoomScaleNormal="85" workbookViewId="0">
      <selection activeCell="B59" sqref="B59"/>
    </sheetView>
  </sheetViews>
  <sheetFormatPr defaultColWidth="10.6640625" defaultRowHeight="12.75" x14ac:dyDescent="0.2"/>
  <cols>
    <col min="1" max="1" width="60.1640625" style="1142" customWidth="1"/>
    <col min="2" max="2" width="50.6640625" style="1142" customWidth="1"/>
    <col min="3" max="3" width="16.5" style="242" bestFit="1" customWidth="1"/>
    <col min="4" max="4" width="18.6640625" style="242" bestFit="1" customWidth="1"/>
    <col min="5" max="256" width="10.6640625" style="242"/>
    <col min="257" max="257" width="60.1640625" style="242" customWidth="1"/>
    <col min="258" max="258" width="48.83203125" style="242" customWidth="1"/>
    <col min="259" max="259" width="16.5" style="242" bestFit="1" customWidth="1"/>
    <col min="260" max="260" width="15" style="242" customWidth="1"/>
    <col min="261" max="512" width="10.6640625" style="242"/>
    <col min="513" max="513" width="60.1640625" style="242" customWidth="1"/>
    <col min="514" max="514" width="48.83203125" style="242" customWidth="1"/>
    <col min="515" max="515" width="16.5" style="242" bestFit="1" customWidth="1"/>
    <col min="516" max="516" width="15" style="242" customWidth="1"/>
    <col min="517" max="768" width="10.6640625" style="242"/>
    <col min="769" max="769" width="60.1640625" style="242" customWidth="1"/>
    <col min="770" max="770" width="48.83203125" style="242" customWidth="1"/>
    <col min="771" max="771" width="16.5" style="242" bestFit="1" customWidth="1"/>
    <col min="772" max="772" width="15" style="242" customWidth="1"/>
    <col min="773" max="1024" width="10.6640625" style="242"/>
    <col min="1025" max="1025" width="60.1640625" style="242" customWidth="1"/>
    <col min="1026" max="1026" width="48.83203125" style="242" customWidth="1"/>
    <col min="1027" max="1027" width="16.5" style="242" bestFit="1" customWidth="1"/>
    <col min="1028" max="1028" width="15" style="242" customWidth="1"/>
    <col min="1029" max="1280" width="10.6640625" style="242"/>
    <col min="1281" max="1281" width="60.1640625" style="242" customWidth="1"/>
    <col min="1282" max="1282" width="48.83203125" style="242" customWidth="1"/>
    <col min="1283" max="1283" width="16.5" style="242" bestFit="1" customWidth="1"/>
    <col min="1284" max="1284" width="15" style="242" customWidth="1"/>
    <col min="1285" max="1536" width="10.6640625" style="242"/>
    <col min="1537" max="1537" width="60.1640625" style="242" customWidth="1"/>
    <col min="1538" max="1538" width="48.83203125" style="242" customWidth="1"/>
    <col min="1539" max="1539" width="16.5" style="242" bestFit="1" customWidth="1"/>
    <col min="1540" max="1540" width="15" style="242" customWidth="1"/>
    <col min="1541" max="1792" width="10.6640625" style="242"/>
    <col min="1793" max="1793" width="60.1640625" style="242" customWidth="1"/>
    <col min="1794" max="1794" width="48.83203125" style="242" customWidth="1"/>
    <col min="1795" max="1795" width="16.5" style="242" bestFit="1" customWidth="1"/>
    <col min="1796" max="1796" width="15" style="242" customWidth="1"/>
    <col min="1797" max="2048" width="10.6640625" style="242"/>
    <col min="2049" max="2049" width="60.1640625" style="242" customWidth="1"/>
    <col min="2050" max="2050" width="48.83203125" style="242" customWidth="1"/>
    <col min="2051" max="2051" width="16.5" style="242" bestFit="1" customWidth="1"/>
    <col min="2052" max="2052" width="15" style="242" customWidth="1"/>
    <col min="2053" max="2304" width="10.6640625" style="242"/>
    <col min="2305" max="2305" width="60.1640625" style="242" customWidth="1"/>
    <col min="2306" max="2306" width="48.83203125" style="242" customWidth="1"/>
    <col min="2307" max="2307" width="16.5" style="242" bestFit="1" customWidth="1"/>
    <col min="2308" max="2308" width="15" style="242" customWidth="1"/>
    <col min="2309" max="2560" width="10.6640625" style="242"/>
    <col min="2561" max="2561" width="60.1640625" style="242" customWidth="1"/>
    <col min="2562" max="2562" width="48.83203125" style="242" customWidth="1"/>
    <col min="2563" max="2563" width="16.5" style="242" bestFit="1" customWidth="1"/>
    <col min="2564" max="2564" width="15" style="242" customWidth="1"/>
    <col min="2565" max="2816" width="10.6640625" style="242"/>
    <col min="2817" max="2817" width="60.1640625" style="242" customWidth="1"/>
    <col min="2818" max="2818" width="48.83203125" style="242" customWidth="1"/>
    <col min="2819" max="2819" width="16.5" style="242" bestFit="1" customWidth="1"/>
    <col min="2820" max="2820" width="15" style="242" customWidth="1"/>
    <col min="2821" max="3072" width="10.6640625" style="242"/>
    <col min="3073" max="3073" width="60.1640625" style="242" customWidth="1"/>
    <col min="3074" max="3074" width="48.83203125" style="242" customWidth="1"/>
    <col min="3075" max="3075" width="16.5" style="242" bestFit="1" customWidth="1"/>
    <col min="3076" max="3076" width="15" style="242" customWidth="1"/>
    <col min="3077" max="3328" width="10.6640625" style="242"/>
    <col min="3329" max="3329" width="60.1640625" style="242" customWidth="1"/>
    <col min="3330" max="3330" width="48.83203125" style="242" customWidth="1"/>
    <col min="3331" max="3331" width="16.5" style="242" bestFit="1" customWidth="1"/>
    <col min="3332" max="3332" width="15" style="242" customWidth="1"/>
    <col min="3333" max="3584" width="10.6640625" style="242"/>
    <col min="3585" max="3585" width="60.1640625" style="242" customWidth="1"/>
    <col min="3586" max="3586" width="48.83203125" style="242" customWidth="1"/>
    <col min="3587" max="3587" width="16.5" style="242" bestFit="1" customWidth="1"/>
    <col min="3588" max="3588" width="15" style="242" customWidth="1"/>
    <col min="3589" max="3840" width="10.6640625" style="242"/>
    <col min="3841" max="3841" width="60.1640625" style="242" customWidth="1"/>
    <col min="3842" max="3842" width="48.83203125" style="242" customWidth="1"/>
    <col min="3843" max="3843" width="16.5" style="242" bestFit="1" customWidth="1"/>
    <col min="3844" max="3844" width="15" style="242" customWidth="1"/>
    <col min="3845" max="4096" width="10.6640625" style="242"/>
    <col min="4097" max="4097" width="60.1640625" style="242" customWidth="1"/>
    <col min="4098" max="4098" width="48.83203125" style="242" customWidth="1"/>
    <col min="4099" max="4099" width="16.5" style="242" bestFit="1" customWidth="1"/>
    <col min="4100" max="4100" width="15" style="242" customWidth="1"/>
    <col min="4101" max="4352" width="10.6640625" style="242"/>
    <col min="4353" max="4353" width="60.1640625" style="242" customWidth="1"/>
    <col min="4354" max="4354" width="48.83203125" style="242" customWidth="1"/>
    <col min="4355" max="4355" width="16.5" style="242" bestFit="1" customWidth="1"/>
    <col min="4356" max="4356" width="15" style="242" customWidth="1"/>
    <col min="4357" max="4608" width="10.6640625" style="242"/>
    <col min="4609" max="4609" width="60.1640625" style="242" customWidth="1"/>
    <col min="4610" max="4610" width="48.83203125" style="242" customWidth="1"/>
    <col min="4611" max="4611" width="16.5" style="242" bestFit="1" customWidth="1"/>
    <col min="4612" max="4612" width="15" style="242" customWidth="1"/>
    <col min="4613" max="4864" width="10.6640625" style="242"/>
    <col min="4865" max="4865" width="60.1640625" style="242" customWidth="1"/>
    <col min="4866" max="4866" width="48.83203125" style="242" customWidth="1"/>
    <col min="4867" max="4867" width="16.5" style="242" bestFit="1" customWidth="1"/>
    <col min="4868" max="4868" width="15" style="242" customWidth="1"/>
    <col min="4869" max="5120" width="10.6640625" style="242"/>
    <col min="5121" max="5121" width="60.1640625" style="242" customWidth="1"/>
    <col min="5122" max="5122" width="48.83203125" style="242" customWidth="1"/>
    <col min="5123" max="5123" width="16.5" style="242" bestFit="1" customWidth="1"/>
    <col min="5124" max="5124" width="15" style="242" customWidth="1"/>
    <col min="5125" max="5376" width="10.6640625" style="242"/>
    <col min="5377" max="5377" width="60.1640625" style="242" customWidth="1"/>
    <col min="5378" max="5378" width="48.83203125" style="242" customWidth="1"/>
    <col min="5379" max="5379" width="16.5" style="242" bestFit="1" customWidth="1"/>
    <col min="5380" max="5380" width="15" style="242" customWidth="1"/>
    <col min="5381" max="5632" width="10.6640625" style="242"/>
    <col min="5633" max="5633" width="60.1640625" style="242" customWidth="1"/>
    <col min="5634" max="5634" width="48.83203125" style="242" customWidth="1"/>
    <col min="5635" max="5635" width="16.5" style="242" bestFit="1" customWidth="1"/>
    <col min="5636" max="5636" width="15" style="242" customWidth="1"/>
    <col min="5637" max="5888" width="10.6640625" style="242"/>
    <col min="5889" max="5889" width="60.1640625" style="242" customWidth="1"/>
    <col min="5890" max="5890" width="48.83203125" style="242" customWidth="1"/>
    <col min="5891" max="5891" width="16.5" style="242" bestFit="1" customWidth="1"/>
    <col min="5892" max="5892" width="15" style="242" customWidth="1"/>
    <col min="5893" max="6144" width="10.6640625" style="242"/>
    <col min="6145" max="6145" width="60.1640625" style="242" customWidth="1"/>
    <col min="6146" max="6146" width="48.83203125" style="242" customWidth="1"/>
    <col min="6147" max="6147" width="16.5" style="242" bestFit="1" customWidth="1"/>
    <col min="6148" max="6148" width="15" style="242" customWidth="1"/>
    <col min="6149" max="6400" width="10.6640625" style="242"/>
    <col min="6401" max="6401" width="60.1640625" style="242" customWidth="1"/>
    <col min="6402" max="6402" width="48.83203125" style="242" customWidth="1"/>
    <col min="6403" max="6403" width="16.5" style="242" bestFit="1" customWidth="1"/>
    <col min="6404" max="6404" width="15" style="242" customWidth="1"/>
    <col min="6405" max="6656" width="10.6640625" style="242"/>
    <col min="6657" max="6657" width="60.1640625" style="242" customWidth="1"/>
    <col min="6658" max="6658" width="48.83203125" style="242" customWidth="1"/>
    <col min="6659" max="6659" width="16.5" style="242" bestFit="1" customWidth="1"/>
    <col min="6660" max="6660" width="15" style="242" customWidth="1"/>
    <col min="6661" max="6912" width="10.6640625" style="242"/>
    <col min="6913" max="6913" width="60.1640625" style="242" customWidth="1"/>
    <col min="6914" max="6914" width="48.83203125" style="242" customWidth="1"/>
    <col min="6915" max="6915" width="16.5" style="242" bestFit="1" customWidth="1"/>
    <col min="6916" max="6916" width="15" style="242" customWidth="1"/>
    <col min="6917" max="7168" width="10.6640625" style="242"/>
    <col min="7169" max="7169" width="60.1640625" style="242" customWidth="1"/>
    <col min="7170" max="7170" width="48.83203125" style="242" customWidth="1"/>
    <col min="7171" max="7171" width="16.5" style="242" bestFit="1" customWidth="1"/>
    <col min="7172" max="7172" width="15" style="242" customWidth="1"/>
    <col min="7173" max="7424" width="10.6640625" style="242"/>
    <col min="7425" max="7425" width="60.1640625" style="242" customWidth="1"/>
    <col min="7426" max="7426" width="48.83203125" style="242" customWidth="1"/>
    <col min="7427" max="7427" width="16.5" style="242" bestFit="1" customWidth="1"/>
    <col min="7428" max="7428" width="15" style="242" customWidth="1"/>
    <col min="7429" max="7680" width="10.6640625" style="242"/>
    <col min="7681" max="7681" width="60.1640625" style="242" customWidth="1"/>
    <col min="7682" max="7682" width="48.83203125" style="242" customWidth="1"/>
    <col min="7683" max="7683" width="16.5" style="242" bestFit="1" customWidth="1"/>
    <col min="7684" max="7684" width="15" style="242" customWidth="1"/>
    <col min="7685" max="7936" width="10.6640625" style="242"/>
    <col min="7937" max="7937" width="60.1640625" style="242" customWidth="1"/>
    <col min="7938" max="7938" width="48.83203125" style="242" customWidth="1"/>
    <col min="7939" max="7939" width="16.5" style="242" bestFit="1" customWidth="1"/>
    <col min="7940" max="7940" width="15" style="242" customWidth="1"/>
    <col min="7941" max="8192" width="10.6640625" style="242"/>
    <col min="8193" max="8193" width="60.1640625" style="242" customWidth="1"/>
    <col min="8194" max="8194" width="48.83203125" style="242" customWidth="1"/>
    <col min="8195" max="8195" width="16.5" style="242" bestFit="1" customWidth="1"/>
    <col min="8196" max="8196" width="15" style="242" customWidth="1"/>
    <col min="8197" max="8448" width="10.6640625" style="242"/>
    <col min="8449" max="8449" width="60.1640625" style="242" customWidth="1"/>
    <col min="8450" max="8450" width="48.83203125" style="242" customWidth="1"/>
    <col min="8451" max="8451" width="16.5" style="242" bestFit="1" customWidth="1"/>
    <col min="8452" max="8452" width="15" style="242" customWidth="1"/>
    <col min="8453" max="8704" width="10.6640625" style="242"/>
    <col min="8705" max="8705" width="60.1640625" style="242" customWidth="1"/>
    <col min="8706" max="8706" width="48.83203125" style="242" customWidth="1"/>
    <col min="8707" max="8707" width="16.5" style="242" bestFit="1" customWidth="1"/>
    <col min="8708" max="8708" width="15" style="242" customWidth="1"/>
    <col min="8709" max="8960" width="10.6640625" style="242"/>
    <col min="8961" max="8961" width="60.1640625" style="242" customWidth="1"/>
    <col min="8962" max="8962" width="48.83203125" style="242" customWidth="1"/>
    <col min="8963" max="8963" width="16.5" style="242" bestFit="1" customWidth="1"/>
    <col min="8964" max="8964" width="15" style="242" customWidth="1"/>
    <col min="8965" max="9216" width="10.6640625" style="242"/>
    <col min="9217" max="9217" width="60.1640625" style="242" customWidth="1"/>
    <col min="9218" max="9218" width="48.83203125" style="242" customWidth="1"/>
    <col min="9219" max="9219" width="16.5" style="242" bestFit="1" customWidth="1"/>
    <col min="9220" max="9220" width="15" style="242" customWidth="1"/>
    <col min="9221" max="9472" width="10.6640625" style="242"/>
    <col min="9473" max="9473" width="60.1640625" style="242" customWidth="1"/>
    <col min="9474" max="9474" width="48.83203125" style="242" customWidth="1"/>
    <col min="9475" max="9475" width="16.5" style="242" bestFit="1" customWidth="1"/>
    <col min="9476" max="9476" width="15" style="242" customWidth="1"/>
    <col min="9477" max="9728" width="10.6640625" style="242"/>
    <col min="9729" max="9729" width="60.1640625" style="242" customWidth="1"/>
    <col min="9730" max="9730" width="48.83203125" style="242" customWidth="1"/>
    <col min="9731" max="9731" width="16.5" style="242" bestFit="1" customWidth="1"/>
    <col min="9732" max="9732" width="15" style="242" customWidth="1"/>
    <col min="9733" max="9984" width="10.6640625" style="242"/>
    <col min="9985" max="9985" width="60.1640625" style="242" customWidth="1"/>
    <col min="9986" max="9986" width="48.83203125" style="242" customWidth="1"/>
    <col min="9987" max="9987" width="16.5" style="242" bestFit="1" customWidth="1"/>
    <col min="9988" max="9988" width="15" style="242" customWidth="1"/>
    <col min="9989" max="10240" width="10.6640625" style="242"/>
    <col min="10241" max="10241" width="60.1640625" style="242" customWidth="1"/>
    <col min="10242" max="10242" width="48.83203125" style="242" customWidth="1"/>
    <col min="10243" max="10243" width="16.5" style="242" bestFit="1" customWidth="1"/>
    <col min="10244" max="10244" width="15" style="242" customWidth="1"/>
    <col min="10245" max="10496" width="10.6640625" style="242"/>
    <col min="10497" max="10497" width="60.1640625" style="242" customWidth="1"/>
    <col min="10498" max="10498" width="48.83203125" style="242" customWidth="1"/>
    <col min="10499" max="10499" width="16.5" style="242" bestFit="1" customWidth="1"/>
    <col min="10500" max="10500" width="15" style="242" customWidth="1"/>
    <col min="10501" max="10752" width="10.6640625" style="242"/>
    <col min="10753" max="10753" width="60.1640625" style="242" customWidth="1"/>
    <col min="10754" max="10754" width="48.83203125" style="242" customWidth="1"/>
    <col min="10755" max="10755" width="16.5" style="242" bestFit="1" customWidth="1"/>
    <col min="10756" max="10756" width="15" style="242" customWidth="1"/>
    <col min="10757" max="11008" width="10.6640625" style="242"/>
    <col min="11009" max="11009" width="60.1640625" style="242" customWidth="1"/>
    <col min="11010" max="11010" width="48.83203125" style="242" customWidth="1"/>
    <col min="11011" max="11011" width="16.5" style="242" bestFit="1" customWidth="1"/>
    <col min="11012" max="11012" width="15" style="242" customWidth="1"/>
    <col min="11013" max="11264" width="10.6640625" style="242"/>
    <col min="11265" max="11265" width="60.1640625" style="242" customWidth="1"/>
    <col min="11266" max="11266" width="48.83203125" style="242" customWidth="1"/>
    <col min="11267" max="11267" width="16.5" style="242" bestFit="1" customWidth="1"/>
    <col min="11268" max="11268" width="15" style="242" customWidth="1"/>
    <col min="11269" max="11520" width="10.6640625" style="242"/>
    <col min="11521" max="11521" width="60.1640625" style="242" customWidth="1"/>
    <col min="11522" max="11522" width="48.83203125" style="242" customWidth="1"/>
    <col min="11523" max="11523" width="16.5" style="242" bestFit="1" customWidth="1"/>
    <col min="11524" max="11524" width="15" style="242" customWidth="1"/>
    <col min="11525" max="11776" width="10.6640625" style="242"/>
    <col min="11777" max="11777" width="60.1640625" style="242" customWidth="1"/>
    <col min="11778" max="11778" width="48.83203125" style="242" customWidth="1"/>
    <col min="11779" max="11779" width="16.5" style="242" bestFit="1" customWidth="1"/>
    <col min="11780" max="11780" width="15" style="242" customWidth="1"/>
    <col min="11781" max="12032" width="10.6640625" style="242"/>
    <col min="12033" max="12033" width="60.1640625" style="242" customWidth="1"/>
    <col min="12034" max="12034" width="48.83203125" style="242" customWidth="1"/>
    <col min="12035" max="12035" width="16.5" style="242" bestFit="1" customWidth="1"/>
    <col min="12036" max="12036" width="15" style="242" customWidth="1"/>
    <col min="12037" max="12288" width="10.6640625" style="242"/>
    <col min="12289" max="12289" width="60.1640625" style="242" customWidth="1"/>
    <col min="12290" max="12290" width="48.83203125" style="242" customWidth="1"/>
    <col min="12291" max="12291" width="16.5" style="242" bestFit="1" customWidth="1"/>
    <col min="12292" max="12292" width="15" style="242" customWidth="1"/>
    <col min="12293" max="12544" width="10.6640625" style="242"/>
    <col min="12545" max="12545" width="60.1640625" style="242" customWidth="1"/>
    <col min="12546" max="12546" width="48.83203125" style="242" customWidth="1"/>
    <col min="12547" max="12547" width="16.5" style="242" bestFit="1" customWidth="1"/>
    <col min="12548" max="12548" width="15" style="242" customWidth="1"/>
    <col min="12549" max="12800" width="10.6640625" style="242"/>
    <col min="12801" max="12801" width="60.1640625" style="242" customWidth="1"/>
    <col min="12802" max="12802" width="48.83203125" style="242" customWidth="1"/>
    <col min="12803" max="12803" width="16.5" style="242" bestFit="1" customWidth="1"/>
    <col min="12804" max="12804" width="15" style="242" customWidth="1"/>
    <col min="12805" max="13056" width="10.6640625" style="242"/>
    <col min="13057" max="13057" width="60.1640625" style="242" customWidth="1"/>
    <col min="13058" max="13058" width="48.83203125" style="242" customWidth="1"/>
    <col min="13059" max="13059" width="16.5" style="242" bestFit="1" customWidth="1"/>
    <col min="13060" max="13060" width="15" style="242" customWidth="1"/>
    <col min="13061" max="13312" width="10.6640625" style="242"/>
    <col min="13313" max="13313" width="60.1640625" style="242" customWidth="1"/>
    <col min="13314" max="13314" width="48.83203125" style="242" customWidth="1"/>
    <col min="13315" max="13315" width="16.5" style="242" bestFit="1" customWidth="1"/>
    <col min="13316" max="13316" width="15" style="242" customWidth="1"/>
    <col min="13317" max="13568" width="10.6640625" style="242"/>
    <col min="13569" max="13569" width="60.1640625" style="242" customWidth="1"/>
    <col min="13570" max="13570" width="48.83203125" style="242" customWidth="1"/>
    <col min="13571" max="13571" width="16.5" style="242" bestFit="1" customWidth="1"/>
    <col min="13572" max="13572" width="15" style="242" customWidth="1"/>
    <col min="13573" max="13824" width="10.6640625" style="242"/>
    <col min="13825" max="13825" width="60.1640625" style="242" customWidth="1"/>
    <col min="13826" max="13826" width="48.83203125" style="242" customWidth="1"/>
    <col min="13827" max="13827" width="16.5" style="242" bestFit="1" customWidth="1"/>
    <col min="13828" max="13828" width="15" style="242" customWidth="1"/>
    <col min="13829" max="14080" width="10.6640625" style="242"/>
    <col min="14081" max="14081" width="60.1640625" style="242" customWidth="1"/>
    <col min="14082" max="14082" width="48.83203125" style="242" customWidth="1"/>
    <col min="14083" max="14083" width="16.5" style="242" bestFit="1" customWidth="1"/>
    <col min="14084" max="14084" width="15" style="242" customWidth="1"/>
    <col min="14085" max="14336" width="10.6640625" style="242"/>
    <col min="14337" max="14337" width="60.1640625" style="242" customWidth="1"/>
    <col min="14338" max="14338" width="48.83203125" style="242" customWidth="1"/>
    <col min="14339" max="14339" width="16.5" style="242" bestFit="1" customWidth="1"/>
    <col min="14340" max="14340" width="15" style="242" customWidth="1"/>
    <col min="14341" max="14592" width="10.6640625" style="242"/>
    <col min="14593" max="14593" width="60.1640625" style="242" customWidth="1"/>
    <col min="14594" max="14594" width="48.83203125" style="242" customWidth="1"/>
    <col min="14595" max="14595" width="16.5" style="242" bestFit="1" customWidth="1"/>
    <col min="14596" max="14596" width="15" style="242" customWidth="1"/>
    <col min="14597" max="14848" width="10.6640625" style="242"/>
    <col min="14849" max="14849" width="60.1640625" style="242" customWidth="1"/>
    <col min="14850" max="14850" width="48.83203125" style="242" customWidth="1"/>
    <col min="14851" max="14851" width="16.5" style="242" bestFit="1" customWidth="1"/>
    <col min="14852" max="14852" width="15" style="242" customWidth="1"/>
    <col min="14853" max="15104" width="10.6640625" style="242"/>
    <col min="15105" max="15105" width="60.1640625" style="242" customWidth="1"/>
    <col min="15106" max="15106" width="48.83203125" style="242" customWidth="1"/>
    <col min="15107" max="15107" width="16.5" style="242" bestFit="1" customWidth="1"/>
    <col min="15108" max="15108" width="15" style="242" customWidth="1"/>
    <col min="15109" max="15360" width="10.6640625" style="242"/>
    <col min="15361" max="15361" width="60.1640625" style="242" customWidth="1"/>
    <col min="15362" max="15362" width="48.83203125" style="242" customWidth="1"/>
    <col min="15363" max="15363" width="16.5" style="242" bestFit="1" customWidth="1"/>
    <col min="15364" max="15364" width="15" style="242" customWidth="1"/>
    <col min="15365" max="15616" width="10.6640625" style="242"/>
    <col min="15617" max="15617" width="60.1640625" style="242" customWidth="1"/>
    <col min="15618" max="15618" width="48.83203125" style="242" customWidth="1"/>
    <col min="15619" max="15619" width="16.5" style="242" bestFit="1" customWidth="1"/>
    <col min="15620" max="15620" width="15" style="242" customWidth="1"/>
    <col min="15621" max="15872" width="10.6640625" style="242"/>
    <col min="15873" max="15873" width="60.1640625" style="242" customWidth="1"/>
    <col min="15874" max="15874" width="48.83203125" style="242" customWidth="1"/>
    <col min="15875" max="15875" width="16.5" style="242" bestFit="1" customWidth="1"/>
    <col min="15876" max="15876" width="15" style="242" customWidth="1"/>
    <col min="15877" max="16128" width="10.6640625" style="242"/>
    <col min="16129" max="16129" width="60.1640625" style="242" customWidth="1"/>
    <col min="16130" max="16130" width="48.83203125" style="242" customWidth="1"/>
    <col min="16131" max="16131" width="16.5" style="242" bestFit="1" customWidth="1"/>
    <col min="16132" max="16132" width="15" style="242" customWidth="1"/>
    <col min="16133" max="16384" width="10.6640625" style="242"/>
  </cols>
  <sheetData>
    <row r="1" spans="1:2" x14ac:dyDescent="0.2">
      <c r="A1" s="1228"/>
      <c r="B1" s="1228"/>
    </row>
    <row r="2" spans="1:2" ht="17.25" customHeight="1" x14ac:dyDescent="0.2">
      <c r="B2" s="1143"/>
    </row>
    <row r="3" spans="1:2" ht="42" customHeight="1" x14ac:dyDescent="0.2">
      <c r="A3" s="1229" t="s">
        <v>612</v>
      </c>
      <c r="B3" s="1229"/>
    </row>
    <row r="4" spans="1:2" ht="33" customHeight="1" thickBot="1" x14ac:dyDescent="0.3">
      <c r="A4" s="1144"/>
      <c r="B4" s="184" t="s">
        <v>14</v>
      </c>
    </row>
    <row r="5" spans="1:2" x14ac:dyDescent="0.2">
      <c r="A5" s="1230" t="s">
        <v>63</v>
      </c>
      <c r="B5" s="1230" t="s">
        <v>613</v>
      </c>
    </row>
    <row r="6" spans="1:2" x14ac:dyDescent="0.2">
      <c r="A6" s="1231"/>
      <c r="B6" s="1231"/>
    </row>
    <row r="7" spans="1:2" ht="13.5" thickBot="1" x14ac:dyDescent="0.25">
      <c r="A7" s="1231"/>
      <c r="B7" s="1232"/>
    </row>
    <row r="8" spans="1:2" ht="23.25" customHeight="1" thickBot="1" x14ac:dyDescent="0.25">
      <c r="A8" s="876" t="s">
        <v>52</v>
      </c>
      <c r="B8" s="1145"/>
    </row>
    <row r="9" spans="1:2" ht="24" customHeight="1" x14ac:dyDescent="0.2">
      <c r="A9" s="1146"/>
      <c r="B9" s="1147"/>
    </row>
    <row r="10" spans="1:2" ht="15.75" x14ac:dyDescent="0.25">
      <c r="A10" s="1148" t="s">
        <v>396</v>
      </c>
      <c r="B10" s="1149">
        <v>148895800</v>
      </c>
    </row>
    <row r="11" spans="1:2" ht="31.5" x14ac:dyDescent="0.25">
      <c r="A11" s="1150" t="s">
        <v>397</v>
      </c>
      <c r="B11" s="1151">
        <f>SUM(B12:B17)</f>
        <v>60304646</v>
      </c>
    </row>
    <row r="12" spans="1:2" ht="31.5" x14ac:dyDescent="0.25">
      <c r="A12" s="1150" t="s">
        <v>398</v>
      </c>
      <c r="B12" s="1151">
        <v>0</v>
      </c>
    </row>
    <row r="13" spans="1:2" ht="15.75" x14ac:dyDescent="0.25">
      <c r="A13" s="1150" t="s">
        <v>399</v>
      </c>
      <c r="B13" s="1151">
        <v>32434080</v>
      </c>
    </row>
    <row r="14" spans="1:2" ht="31.5" x14ac:dyDescent="0.25">
      <c r="A14" s="1150" t="s">
        <v>400</v>
      </c>
      <c r="B14" s="1151">
        <v>7111416</v>
      </c>
    </row>
    <row r="15" spans="1:2" ht="15.75" x14ac:dyDescent="0.25">
      <c r="A15" s="1150" t="s">
        <v>401</v>
      </c>
      <c r="B15" s="1151">
        <v>20759150</v>
      </c>
    </row>
    <row r="16" spans="1:2" ht="15.75" x14ac:dyDescent="0.25">
      <c r="A16" s="1150" t="s">
        <v>402</v>
      </c>
      <c r="B16" s="1151">
        <v>0</v>
      </c>
    </row>
    <row r="17" spans="1:3" ht="15.75" x14ac:dyDescent="0.25">
      <c r="A17" s="1150" t="s">
        <v>411</v>
      </c>
      <c r="B17" s="1151">
        <v>0</v>
      </c>
    </row>
    <row r="18" spans="1:3" ht="31.5" x14ac:dyDescent="0.25">
      <c r="A18" s="1150" t="s">
        <v>809</v>
      </c>
      <c r="B18" s="1151">
        <v>4226000</v>
      </c>
      <c r="C18" s="243"/>
    </row>
    <row r="19" spans="1:3" ht="39" customHeight="1" x14ac:dyDescent="0.25">
      <c r="A19" s="1152" t="s">
        <v>526</v>
      </c>
      <c r="B19" s="1153">
        <f>SUM(B10:B11)+B18</f>
        <v>213426446</v>
      </c>
    </row>
    <row r="20" spans="1:3" ht="15.75" x14ac:dyDescent="0.25">
      <c r="A20" s="1150" t="s">
        <v>701</v>
      </c>
      <c r="B20" s="1154">
        <f>3941300+768593-1999597</f>
        <v>2710296</v>
      </c>
    </row>
    <row r="21" spans="1:3" ht="15.75" x14ac:dyDescent="0.25">
      <c r="A21" s="1150" t="s">
        <v>566</v>
      </c>
      <c r="B21" s="1151">
        <v>1961400</v>
      </c>
    </row>
    <row r="22" spans="1:3" ht="39" customHeight="1" x14ac:dyDescent="0.25">
      <c r="A22" s="1155" t="s">
        <v>539</v>
      </c>
      <c r="B22" s="1156">
        <f>SUM(B19:B21)</f>
        <v>218098142</v>
      </c>
    </row>
    <row r="23" spans="1:3" ht="36" customHeight="1" x14ac:dyDescent="0.25">
      <c r="A23" s="1157" t="s">
        <v>403</v>
      </c>
      <c r="B23" s="1154">
        <f>189253050-1879234</f>
        <v>187373816</v>
      </c>
    </row>
    <row r="24" spans="1:3" ht="15.75" x14ac:dyDescent="0.25">
      <c r="A24" s="1139" t="s">
        <v>404</v>
      </c>
      <c r="B24" s="1151">
        <f>36460066+1651967-1344683</f>
        <v>36767350</v>
      </c>
    </row>
    <row r="25" spans="1:3" ht="31.5" x14ac:dyDescent="0.25">
      <c r="A25" s="1157" t="s">
        <v>567</v>
      </c>
      <c r="B25" s="1151">
        <v>0</v>
      </c>
    </row>
    <row r="26" spans="1:3" ht="31.5" x14ac:dyDescent="0.25">
      <c r="A26" s="1157" t="s">
        <v>568</v>
      </c>
      <c r="B26" s="1154">
        <f>9638500+363642+228103</f>
        <v>10230245</v>
      </c>
    </row>
    <row r="27" spans="1:3" ht="31.5" x14ac:dyDescent="0.25">
      <c r="A27" s="1150" t="s">
        <v>809</v>
      </c>
      <c r="B27" s="1151">
        <v>4095000</v>
      </c>
    </row>
    <row r="28" spans="1:3" ht="31.5" customHeight="1" x14ac:dyDescent="0.25">
      <c r="A28" s="1158" t="s">
        <v>405</v>
      </c>
      <c r="B28" s="1156">
        <f>SUM(B23:B27)</f>
        <v>238466411</v>
      </c>
    </row>
    <row r="29" spans="1:3" ht="31.5" customHeight="1" x14ac:dyDescent="0.25">
      <c r="A29" s="1157" t="s">
        <v>527</v>
      </c>
      <c r="B29" s="1151">
        <v>132342947</v>
      </c>
    </row>
    <row r="30" spans="1:3" ht="28.5" customHeight="1" x14ac:dyDescent="0.25">
      <c r="A30" s="1139" t="s">
        <v>406</v>
      </c>
      <c r="B30" s="1154">
        <f>82528441+1736160+660000</f>
        <v>84924601</v>
      </c>
    </row>
    <row r="31" spans="1:3" ht="63" x14ac:dyDescent="0.25">
      <c r="A31" s="1159" t="s">
        <v>538</v>
      </c>
      <c r="B31" s="1154">
        <f>152850000-569000-2848000</f>
        <v>149433000</v>
      </c>
      <c r="C31" s="243"/>
    </row>
    <row r="32" spans="1:3" ht="15.75" x14ac:dyDescent="0.25">
      <c r="A32" s="1139" t="s">
        <v>691</v>
      </c>
      <c r="B32" s="1154">
        <f>69730000-9405000-988000</f>
        <v>59337000</v>
      </c>
    </row>
    <row r="33" spans="1:3" ht="15.75" x14ac:dyDescent="0.25">
      <c r="A33" s="1139" t="s">
        <v>407</v>
      </c>
      <c r="B33" s="1154">
        <f>121853306+2454160-10958583</f>
        <v>113348883</v>
      </c>
    </row>
    <row r="34" spans="1:3" ht="31.5" x14ac:dyDescent="0.25">
      <c r="A34" s="1157" t="s">
        <v>6</v>
      </c>
      <c r="B34" s="1154">
        <f>50232560-9756-1815700</f>
        <v>48407104</v>
      </c>
    </row>
    <row r="35" spans="1:3" ht="47.25" x14ac:dyDescent="0.25">
      <c r="A35" s="1157" t="s">
        <v>569</v>
      </c>
      <c r="B35" s="1151">
        <v>22095000</v>
      </c>
    </row>
    <row r="36" spans="1:3" ht="47.25" x14ac:dyDescent="0.25">
      <c r="A36" s="1157" t="s">
        <v>570</v>
      </c>
      <c r="B36" s="1154">
        <f>32324400-1426000</f>
        <v>30898400</v>
      </c>
    </row>
    <row r="37" spans="1:3" ht="15.75" x14ac:dyDescent="0.25">
      <c r="A37" s="1157" t="s">
        <v>571</v>
      </c>
      <c r="B37" s="1154">
        <f>6880000+4436000+5622000</f>
        <v>16938000</v>
      </c>
    </row>
    <row r="38" spans="1:3" ht="31.5" x14ac:dyDescent="0.25">
      <c r="A38" s="1150" t="s">
        <v>809</v>
      </c>
      <c r="B38" s="1151">
        <f>646000+540000+1296000+3785000+34341000+7340000</f>
        <v>47948000</v>
      </c>
    </row>
    <row r="39" spans="1:3" ht="15.75" x14ac:dyDescent="0.25">
      <c r="A39" s="1137" t="s">
        <v>703</v>
      </c>
      <c r="B39" s="1138">
        <f>67950505+2140530</f>
        <v>70091035</v>
      </c>
    </row>
    <row r="40" spans="1:3" ht="15.75" x14ac:dyDescent="0.25">
      <c r="A40" s="1139" t="s">
        <v>705</v>
      </c>
      <c r="B40" s="1141">
        <f>7540892+1188591</f>
        <v>8729483</v>
      </c>
    </row>
    <row r="41" spans="1:3" ht="47.25" x14ac:dyDescent="0.25">
      <c r="A41" s="1158" t="s">
        <v>408</v>
      </c>
      <c r="B41" s="1156">
        <f>SUM(B29:B40)</f>
        <v>784493453</v>
      </c>
      <c r="C41" s="262"/>
    </row>
    <row r="42" spans="1:3" ht="31.5" x14ac:dyDescent="0.25">
      <c r="A42" s="1160" t="s">
        <v>409</v>
      </c>
      <c r="B42" s="1161">
        <f>B43+B44+B45</f>
        <v>30024620</v>
      </c>
    </row>
    <row r="43" spans="1:3" ht="31.5" x14ac:dyDescent="0.25">
      <c r="A43" s="1157" t="s">
        <v>410</v>
      </c>
      <c r="B43" s="1162">
        <v>12622000</v>
      </c>
    </row>
    <row r="44" spans="1:3" ht="31.5" x14ac:dyDescent="0.25">
      <c r="A44" s="1157" t="s">
        <v>7</v>
      </c>
      <c r="B44" s="1162">
        <v>15998620</v>
      </c>
    </row>
    <row r="45" spans="1:3" ht="15.75" x14ac:dyDescent="0.25">
      <c r="A45" s="1157" t="s">
        <v>796</v>
      </c>
      <c r="B45" s="1151">
        <v>1404000</v>
      </c>
    </row>
    <row r="46" spans="1:3" ht="15.75" x14ac:dyDescent="0.25">
      <c r="A46" s="1150" t="s">
        <v>704</v>
      </c>
      <c r="B46" s="1154">
        <f>4617241-430288</f>
        <v>4186953</v>
      </c>
    </row>
    <row r="47" spans="1:3" ht="31.5" x14ac:dyDescent="0.25">
      <c r="A47" s="1150" t="s">
        <v>809</v>
      </c>
      <c r="B47" s="1151">
        <v>542000</v>
      </c>
    </row>
    <row r="48" spans="1:3" ht="31.5" x14ac:dyDescent="0.25">
      <c r="A48" s="1158" t="s">
        <v>810</v>
      </c>
      <c r="B48" s="1156">
        <f>SUM(B46:B47,B42)</f>
        <v>34753573</v>
      </c>
    </row>
    <row r="49" spans="1:4" ht="15.75" x14ac:dyDescent="0.25">
      <c r="A49" s="1150" t="s">
        <v>827</v>
      </c>
      <c r="B49" s="1151">
        <v>350000</v>
      </c>
    </row>
    <row r="50" spans="1:4" ht="15.75" x14ac:dyDescent="0.25">
      <c r="A50" s="1157" t="s">
        <v>702</v>
      </c>
      <c r="B50" s="1162">
        <v>24707600</v>
      </c>
    </row>
    <row r="51" spans="1:4" ht="15.75" x14ac:dyDescent="0.25">
      <c r="A51" s="1157" t="s">
        <v>797</v>
      </c>
      <c r="B51" s="1140">
        <v>9625137</v>
      </c>
    </row>
    <row r="52" spans="1:4" ht="16.5" thickBot="1" x14ac:dyDescent="0.3">
      <c r="A52" s="1165" t="s">
        <v>850</v>
      </c>
      <c r="B52" s="1163">
        <v>13640749</v>
      </c>
    </row>
    <row r="53" spans="1:4" ht="19.5" thickBot="1" x14ac:dyDescent="0.35">
      <c r="A53" s="1166" t="s">
        <v>53</v>
      </c>
      <c r="B53" s="691">
        <f>B22+B28+B41+B48+B49+B50+B51+B52</f>
        <v>1324135065</v>
      </c>
      <c r="D53" s="692"/>
    </row>
    <row r="56" spans="1:4" x14ac:dyDescent="0.2">
      <c r="B56" s="1164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számú melléklet a 4/2020.(II.28.)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2"/>
  <sheetViews>
    <sheetView view="pageLayout" zoomScaleNormal="130" workbookViewId="0">
      <selection activeCell="F9" sqref="F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693" customWidth="1"/>
  </cols>
  <sheetData>
    <row r="1" spans="1:6" ht="45" customHeight="1" x14ac:dyDescent="0.25">
      <c r="A1" s="1233" t="s">
        <v>614</v>
      </c>
      <c r="B1" s="1233"/>
      <c r="C1" s="1233"/>
      <c r="D1" s="1233"/>
    </row>
    <row r="2" spans="1:6" ht="17.25" customHeight="1" x14ac:dyDescent="0.25">
      <c r="A2" s="504"/>
      <c r="B2" s="504"/>
      <c r="C2" s="504"/>
      <c r="D2" s="694"/>
    </row>
    <row r="3" spans="1:6" ht="13.5" thickBot="1" x14ac:dyDescent="0.25">
      <c r="A3" s="81"/>
      <c r="B3" s="81"/>
      <c r="C3" s="1234" t="s">
        <v>554</v>
      </c>
      <c r="D3" s="1234"/>
    </row>
    <row r="4" spans="1:6" ht="42.75" customHeight="1" thickBot="1" x14ac:dyDescent="0.25">
      <c r="A4" s="698" t="s">
        <v>70</v>
      </c>
      <c r="B4" s="699" t="s">
        <v>117</v>
      </c>
      <c r="C4" s="699" t="s">
        <v>118</v>
      </c>
      <c r="D4" s="700" t="s">
        <v>15</v>
      </c>
    </row>
    <row r="5" spans="1:6" ht="15.95" customHeight="1" x14ac:dyDescent="0.2">
      <c r="A5" s="695" t="s">
        <v>19</v>
      </c>
      <c r="B5" s="696" t="s">
        <v>412</v>
      </c>
      <c r="C5" s="245" t="s">
        <v>413</v>
      </c>
      <c r="D5" s="697">
        <v>5000000</v>
      </c>
      <c r="E5" s="37"/>
      <c r="F5" s="37"/>
    </row>
    <row r="6" spans="1:6" ht="15.95" customHeight="1" x14ac:dyDescent="0.2">
      <c r="A6" s="82" t="s">
        <v>20</v>
      </c>
      <c r="B6" s="507" t="s">
        <v>414</v>
      </c>
      <c r="C6" s="27" t="s">
        <v>413</v>
      </c>
      <c r="D6" s="26">
        <f>1500000+9625137</f>
        <v>11125137</v>
      </c>
      <c r="E6" s="37"/>
      <c r="F6" s="37"/>
    </row>
    <row r="7" spans="1:6" ht="15.95" customHeight="1" x14ac:dyDescent="0.2">
      <c r="A7" s="82" t="s">
        <v>21</v>
      </c>
      <c r="B7" s="507" t="s">
        <v>415</v>
      </c>
      <c r="C7" s="27" t="s">
        <v>413</v>
      </c>
      <c r="D7" s="26">
        <v>500000</v>
      </c>
      <c r="E7" s="37"/>
      <c r="F7" s="37"/>
    </row>
    <row r="8" spans="1:6" ht="15.95" customHeight="1" x14ac:dyDescent="0.2">
      <c r="A8" s="82" t="s">
        <v>22</v>
      </c>
      <c r="B8" s="507" t="s">
        <v>416</v>
      </c>
      <c r="C8" s="25" t="s">
        <v>413</v>
      </c>
      <c r="D8" s="1167">
        <f>6000000+4000000</f>
        <v>10000000</v>
      </c>
      <c r="E8" s="37"/>
      <c r="F8" s="37"/>
    </row>
    <row r="9" spans="1:6" ht="15.95" customHeight="1" x14ac:dyDescent="0.2">
      <c r="A9" s="82" t="s">
        <v>23</v>
      </c>
      <c r="B9" s="507" t="s">
        <v>417</v>
      </c>
      <c r="C9" s="245" t="s">
        <v>413</v>
      </c>
      <c r="D9" s="26">
        <v>200000</v>
      </c>
      <c r="E9" s="37"/>
      <c r="F9" s="37"/>
    </row>
    <row r="10" spans="1:6" ht="15.95" customHeight="1" x14ac:dyDescent="0.2">
      <c r="A10" s="82" t="s">
        <v>24</v>
      </c>
      <c r="B10" s="507" t="s">
        <v>418</v>
      </c>
      <c r="C10" s="25" t="s">
        <v>413</v>
      </c>
      <c r="D10" s="26">
        <v>800000</v>
      </c>
      <c r="E10" s="37"/>
      <c r="F10" s="37"/>
    </row>
    <row r="11" spans="1:6" ht="15.95" customHeight="1" x14ac:dyDescent="0.2">
      <c r="A11" s="82" t="s">
        <v>25</v>
      </c>
      <c r="B11" s="507" t="s">
        <v>419</v>
      </c>
      <c r="C11" s="244" t="s">
        <v>413</v>
      </c>
      <c r="D11" s="26">
        <v>50000</v>
      </c>
      <c r="E11" s="37"/>
      <c r="F11" s="37"/>
    </row>
    <row r="12" spans="1:6" ht="15.95" customHeight="1" x14ac:dyDescent="0.2">
      <c r="A12" s="82" t="s">
        <v>26</v>
      </c>
      <c r="B12" s="507" t="s">
        <v>420</v>
      </c>
      <c r="C12" s="244" t="s">
        <v>413</v>
      </c>
      <c r="D12" s="26">
        <v>50000</v>
      </c>
      <c r="E12" s="37"/>
      <c r="F12" s="37"/>
    </row>
    <row r="13" spans="1:6" ht="15.95" customHeight="1" x14ac:dyDescent="0.2">
      <c r="A13" s="82" t="s">
        <v>27</v>
      </c>
      <c r="B13" s="507" t="s">
        <v>706</v>
      </c>
      <c r="C13" s="25" t="s">
        <v>413</v>
      </c>
      <c r="D13" s="26">
        <v>6299183</v>
      </c>
      <c r="E13" s="37"/>
      <c r="F13" s="37"/>
    </row>
    <row r="14" spans="1:6" ht="15.95" customHeight="1" x14ac:dyDescent="0.2">
      <c r="A14" s="82" t="s">
        <v>28</v>
      </c>
      <c r="B14" s="507" t="s">
        <v>707</v>
      </c>
      <c r="C14" s="25" t="s">
        <v>413</v>
      </c>
      <c r="D14" s="26">
        <v>2777600</v>
      </c>
      <c r="E14" s="37"/>
      <c r="F14" s="37"/>
    </row>
    <row r="15" spans="1:6" ht="15.95" customHeight="1" x14ac:dyDescent="0.2">
      <c r="A15" s="82" t="s">
        <v>29</v>
      </c>
      <c r="B15" s="507" t="s">
        <v>706</v>
      </c>
      <c r="C15" s="25" t="s">
        <v>421</v>
      </c>
      <c r="D15" s="26">
        <v>990092</v>
      </c>
      <c r="E15" s="37"/>
      <c r="F15" s="37"/>
    </row>
    <row r="16" spans="1:6" ht="15.95" customHeight="1" x14ac:dyDescent="0.2">
      <c r="A16" s="82" t="s">
        <v>30</v>
      </c>
      <c r="B16" s="507" t="s">
        <v>707</v>
      </c>
      <c r="C16" s="25" t="s">
        <v>421</v>
      </c>
      <c r="D16" s="26">
        <v>3076817</v>
      </c>
      <c r="E16" s="37"/>
      <c r="F16" s="37"/>
    </row>
    <row r="17" spans="1:6" ht="15.95" customHeight="1" x14ac:dyDescent="0.2">
      <c r="A17" s="82" t="s">
        <v>31</v>
      </c>
      <c r="B17" s="507" t="s">
        <v>708</v>
      </c>
      <c r="C17" s="25" t="s">
        <v>421</v>
      </c>
      <c r="D17" s="26">
        <v>22202197</v>
      </c>
      <c r="E17" s="37"/>
      <c r="F17" s="37"/>
    </row>
    <row r="18" spans="1:6" ht="15.95" customHeight="1" x14ac:dyDescent="0.2">
      <c r="A18" s="82" t="s">
        <v>32</v>
      </c>
      <c r="B18" s="507" t="s">
        <v>422</v>
      </c>
      <c r="C18" s="25" t="s">
        <v>413</v>
      </c>
      <c r="D18" s="26">
        <v>9935000</v>
      </c>
      <c r="E18" s="37"/>
      <c r="F18" s="263"/>
    </row>
    <row r="19" spans="1:6" ht="15.95" customHeight="1" x14ac:dyDescent="0.2">
      <c r="A19" s="82" t="s">
        <v>33</v>
      </c>
      <c r="B19" s="507" t="s">
        <v>556</v>
      </c>
      <c r="C19" s="25" t="s">
        <v>413</v>
      </c>
      <c r="D19" s="26">
        <v>150000</v>
      </c>
    </row>
    <row r="20" spans="1:6" ht="15.95" customHeight="1" x14ac:dyDescent="0.2">
      <c r="A20" s="82" t="s">
        <v>34</v>
      </c>
      <c r="B20" s="507" t="s">
        <v>3</v>
      </c>
      <c r="C20" s="25" t="s">
        <v>413</v>
      </c>
      <c r="D20" s="46">
        <f>18773656-6162678</f>
        <v>12610978</v>
      </c>
    </row>
    <row r="21" spans="1:6" x14ac:dyDescent="0.2">
      <c r="A21" s="82" t="s">
        <v>35</v>
      </c>
      <c r="B21" s="508" t="s">
        <v>3</v>
      </c>
      <c r="C21" s="25" t="s">
        <v>421</v>
      </c>
      <c r="D21" s="46">
        <v>650000</v>
      </c>
    </row>
    <row r="22" spans="1:6" ht="15.95" customHeight="1" x14ac:dyDescent="0.2">
      <c r="A22" s="82" t="s">
        <v>36</v>
      </c>
      <c r="B22" s="507" t="s">
        <v>563</v>
      </c>
      <c r="C22" s="25" t="s">
        <v>413</v>
      </c>
      <c r="D22" s="46">
        <v>4730000</v>
      </c>
    </row>
    <row r="23" spans="1:6" ht="15.95" customHeight="1" x14ac:dyDescent="0.2">
      <c r="A23" s="82" t="s">
        <v>37</v>
      </c>
      <c r="B23" s="507" t="s">
        <v>578</v>
      </c>
      <c r="C23" s="25" t="s">
        <v>413</v>
      </c>
      <c r="D23" s="46">
        <f>47869145+6604733+15489215+14983471+6162678+5000000</f>
        <v>96109242</v>
      </c>
    </row>
    <row r="24" spans="1:6" ht="15.95" customHeight="1" x14ac:dyDescent="0.2">
      <c r="A24" s="82" t="s">
        <v>38</v>
      </c>
      <c r="B24" s="507" t="s">
        <v>599</v>
      </c>
      <c r="C24" s="25" t="s">
        <v>413</v>
      </c>
      <c r="D24" s="46">
        <f>7332000-7332000</f>
        <v>0</v>
      </c>
    </row>
    <row r="25" spans="1:6" ht="15.95" customHeight="1" x14ac:dyDescent="0.2">
      <c r="A25" s="82" t="s">
        <v>39</v>
      </c>
      <c r="B25" s="507" t="s">
        <v>579</v>
      </c>
      <c r="C25" s="25" t="s">
        <v>413</v>
      </c>
      <c r="D25" s="46">
        <v>523000</v>
      </c>
    </row>
    <row r="26" spans="1:6" ht="15.95" customHeight="1" x14ac:dyDescent="0.2">
      <c r="A26" s="82" t="s">
        <v>40</v>
      </c>
      <c r="B26" s="507" t="s">
        <v>709</v>
      </c>
      <c r="C26" s="25" t="s">
        <v>413</v>
      </c>
      <c r="D26" s="46">
        <v>69312000</v>
      </c>
    </row>
    <row r="27" spans="1:6" s="509" customFormat="1" ht="15.95" customHeight="1" x14ac:dyDescent="0.2">
      <c r="A27" s="82" t="s">
        <v>41</v>
      </c>
      <c r="B27" s="507" t="s">
        <v>583</v>
      </c>
      <c r="C27" s="25" t="s">
        <v>413</v>
      </c>
      <c r="D27" s="46">
        <f>1000000+500000</f>
        <v>1500000</v>
      </c>
    </row>
    <row r="28" spans="1:6" s="509" customFormat="1" ht="15.95" customHeight="1" x14ac:dyDescent="0.2">
      <c r="A28" s="82" t="s">
        <v>42</v>
      </c>
      <c r="B28" s="507" t="s">
        <v>776</v>
      </c>
      <c r="C28" s="25" t="s">
        <v>413</v>
      </c>
      <c r="D28" s="46">
        <v>580000</v>
      </c>
    </row>
    <row r="29" spans="1:6" s="509" customFormat="1" ht="15.95" customHeight="1" x14ac:dyDescent="0.2">
      <c r="A29" s="759" t="s">
        <v>44</v>
      </c>
      <c r="B29" s="507" t="s">
        <v>781</v>
      </c>
      <c r="C29" s="25" t="s">
        <v>413</v>
      </c>
      <c r="D29" s="46">
        <v>1338067</v>
      </c>
    </row>
    <row r="30" spans="1:6" s="509" customFormat="1" ht="22.5" x14ac:dyDescent="0.2">
      <c r="A30" s="82" t="s">
        <v>45</v>
      </c>
      <c r="B30" s="508" t="s">
        <v>782</v>
      </c>
      <c r="C30" s="25" t="s">
        <v>413</v>
      </c>
      <c r="D30" s="46">
        <v>67500</v>
      </c>
    </row>
    <row r="31" spans="1:6" s="509" customFormat="1" ht="13.5" thickBot="1" x14ac:dyDescent="0.25">
      <c r="A31" s="1096" t="s">
        <v>46</v>
      </c>
      <c r="B31" s="1097" t="s">
        <v>846</v>
      </c>
      <c r="C31" s="25" t="s">
        <v>413</v>
      </c>
      <c r="D31" s="1098">
        <v>255621</v>
      </c>
    </row>
    <row r="32" spans="1:6" ht="15.95" customHeight="1" thickBot="1" x14ac:dyDescent="0.25">
      <c r="A32" s="1235" t="s">
        <v>53</v>
      </c>
      <c r="B32" s="1236"/>
      <c r="C32" s="83"/>
      <c r="D32" s="1099">
        <f>SUM(D5:D31)</f>
        <v>260832434</v>
      </c>
    </row>
  </sheetData>
  <mergeCells count="3">
    <mergeCell ref="A1:D1"/>
    <mergeCell ref="C3:D3"/>
    <mergeCell ref="A32:B32"/>
  </mergeCells>
  <conditionalFormatting sqref="D3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melléklet a 4/2020.(II.28.)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tabSelected="1" view="pageLayout" zoomScale="85" zoomScaleNormal="100" zoomScaleSheetLayoutView="85" zoomScalePageLayoutView="85" workbookViewId="0">
      <selection activeCell="F69" sqref="F69"/>
    </sheetView>
  </sheetViews>
  <sheetFormatPr defaultColWidth="10.6640625" defaultRowHeight="12.75" x14ac:dyDescent="0.2"/>
  <cols>
    <col min="1" max="1" width="8.5" style="320" customWidth="1"/>
    <col min="2" max="2" width="38.6640625" style="320" customWidth="1"/>
    <col min="3" max="3" width="13.1640625" style="321" bestFit="1" customWidth="1"/>
    <col min="4" max="4" width="13" style="321" bestFit="1" customWidth="1"/>
    <col min="5" max="5" width="11.1640625" style="321" bestFit="1" customWidth="1"/>
    <col min="6" max="7" width="11.33203125" style="321" bestFit="1" customWidth="1"/>
    <col min="8" max="8" width="13.1640625" style="741" bestFit="1" customWidth="1"/>
    <col min="9" max="9" width="1.1640625" style="322" customWidth="1"/>
    <col min="10" max="10" width="11.83203125" style="320" bestFit="1" customWidth="1"/>
    <col min="11" max="11" width="13" style="320" bestFit="1" customWidth="1"/>
    <col min="12" max="12" width="13.1640625" style="320" bestFit="1" customWidth="1"/>
    <col min="13" max="13" width="11.1640625" style="320" bestFit="1" customWidth="1"/>
    <col min="14" max="14" width="11.33203125" style="320" bestFit="1" customWidth="1"/>
    <col min="15" max="15" width="13.1640625" style="323" customWidth="1"/>
    <col min="16" max="16" width="15.1640625" style="320" bestFit="1" customWidth="1"/>
    <col min="17" max="16384" width="10.6640625" style="320"/>
  </cols>
  <sheetData>
    <row r="1" spans="1:194" x14ac:dyDescent="0.2">
      <c r="K1" s="1246"/>
      <c r="L1" s="1246"/>
      <c r="M1" s="1246"/>
      <c r="N1" s="1246"/>
    </row>
    <row r="2" spans="1:194" x14ac:dyDescent="0.2">
      <c r="B2" s="324"/>
      <c r="F2" s="325"/>
      <c r="J2" s="324"/>
      <c r="K2" s="1247"/>
      <c r="L2" s="1247"/>
      <c r="M2" s="1247"/>
      <c r="N2" s="1247"/>
      <c r="O2" s="326"/>
    </row>
    <row r="3" spans="1:194" ht="17.25" customHeight="1" x14ac:dyDescent="0.35">
      <c r="A3" s="1257" t="s">
        <v>615</v>
      </c>
      <c r="B3" s="1257"/>
      <c r="C3" s="1257"/>
      <c r="D3" s="1257"/>
      <c r="E3" s="1257"/>
      <c r="F3" s="1257"/>
      <c r="G3" s="1257"/>
      <c r="H3" s="1257"/>
      <c r="I3" s="1257"/>
      <c r="J3" s="1257"/>
      <c r="K3" s="1257"/>
      <c r="L3" s="1257"/>
      <c r="M3" s="1257"/>
      <c r="N3" s="1257"/>
      <c r="O3" s="1257"/>
      <c r="P3" s="493"/>
    </row>
    <row r="4" spans="1:194" ht="19.5" x14ac:dyDescent="0.35">
      <c r="A4" s="1258" t="s">
        <v>423</v>
      </c>
      <c r="B4" s="1258"/>
      <c r="C4" s="1258"/>
      <c r="D4" s="1258"/>
      <c r="E4" s="1258"/>
      <c r="F4" s="1258"/>
      <c r="G4" s="1258"/>
      <c r="H4" s="1258"/>
      <c r="I4" s="1258"/>
      <c r="J4" s="1258"/>
      <c r="K4" s="1258"/>
      <c r="L4" s="1258"/>
      <c r="M4" s="1258"/>
      <c r="N4" s="1258"/>
      <c r="O4" s="1258"/>
      <c r="P4" s="493"/>
    </row>
    <row r="5" spans="1:194" ht="0.75" customHeight="1" thickBot="1" x14ac:dyDescent="0.35">
      <c r="B5" s="330"/>
      <c r="C5" s="327"/>
      <c r="D5" s="327"/>
      <c r="E5" s="327"/>
      <c r="F5" s="327"/>
      <c r="G5" s="327"/>
      <c r="H5" s="742"/>
      <c r="I5" s="328"/>
      <c r="J5" s="329"/>
      <c r="K5" s="329"/>
      <c r="L5" s="329"/>
      <c r="M5" s="329"/>
      <c r="N5" s="329"/>
      <c r="O5" s="326" t="s">
        <v>370</v>
      </c>
      <c r="P5" s="493"/>
    </row>
    <row r="6" spans="1:194" ht="15.75" x14ac:dyDescent="0.25">
      <c r="A6" s="1251" t="s">
        <v>710</v>
      </c>
      <c r="B6" s="1254" t="s">
        <v>157</v>
      </c>
      <c r="C6" s="1248" t="s">
        <v>424</v>
      </c>
      <c r="D6" s="1249"/>
      <c r="E6" s="1249"/>
      <c r="F6" s="1249"/>
      <c r="G6" s="1249"/>
      <c r="H6" s="1250"/>
      <c r="I6" s="331"/>
      <c r="J6" s="1248" t="s">
        <v>425</v>
      </c>
      <c r="K6" s="1249"/>
      <c r="L6" s="1249"/>
      <c r="M6" s="1249"/>
      <c r="N6" s="1249"/>
      <c r="O6" s="1250"/>
      <c r="P6" s="493"/>
    </row>
    <row r="7" spans="1:194" x14ac:dyDescent="0.2">
      <c r="A7" s="1252"/>
      <c r="B7" s="1255"/>
      <c r="C7" s="332" t="s">
        <v>426</v>
      </c>
      <c r="D7" s="333" t="s">
        <v>383</v>
      </c>
      <c r="E7" s="333" t="s">
        <v>436</v>
      </c>
      <c r="F7" s="333" t="s">
        <v>427</v>
      </c>
      <c r="G7" s="333" t="s">
        <v>537</v>
      </c>
      <c r="H7" s="743" t="s">
        <v>616</v>
      </c>
      <c r="I7" s="335"/>
      <c r="J7" s="332" t="s">
        <v>426</v>
      </c>
      <c r="K7" s="333" t="s">
        <v>383</v>
      </c>
      <c r="L7" s="333" t="s">
        <v>439</v>
      </c>
      <c r="M7" s="333" t="s">
        <v>119</v>
      </c>
      <c r="N7" s="333" t="s">
        <v>437</v>
      </c>
      <c r="O7" s="334" t="s">
        <v>617</v>
      </c>
      <c r="P7" s="493"/>
    </row>
    <row r="8" spans="1:194" ht="13.5" thickBot="1" x14ac:dyDescent="0.25">
      <c r="A8" s="1253"/>
      <c r="B8" s="1256"/>
      <c r="C8" s="378" t="s">
        <v>428</v>
      </c>
      <c r="D8" s="379" t="s">
        <v>428</v>
      </c>
      <c r="E8" s="379" t="s">
        <v>428</v>
      </c>
      <c r="F8" s="379" t="s">
        <v>429</v>
      </c>
      <c r="G8" s="379"/>
      <c r="H8" s="744" t="s">
        <v>430</v>
      </c>
      <c r="I8" s="727"/>
      <c r="J8" s="378" t="s">
        <v>431</v>
      </c>
      <c r="K8" s="379" t="s">
        <v>389</v>
      </c>
      <c r="L8" s="379" t="s">
        <v>385</v>
      </c>
      <c r="M8" s="379"/>
      <c r="N8" s="379"/>
      <c r="O8" s="380" t="s">
        <v>432</v>
      </c>
      <c r="P8" s="493"/>
    </row>
    <row r="9" spans="1:194" ht="14.25" thickBot="1" x14ac:dyDescent="0.3">
      <c r="A9" s="1237" t="s">
        <v>711</v>
      </c>
      <c r="B9" s="1238"/>
      <c r="C9" s="1239"/>
      <c r="D9" s="1239"/>
      <c r="E9" s="1239"/>
      <c r="F9" s="1239"/>
      <c r="G9" s="1239"/>
      <c r="H9" s="1239"/>
      <c r="I9" s="1239"/>
      <c r="J9" s="1239"/>
      <c r="K9" s="1239"/>
      <c r="L9" s="1239"/>
      <c r="M9" s="1239"/>
      <c r="N9" s="1239"/>
      <c r="O9" s="1240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</row>
    <row r="10" spans="1:194" ht="38.25" x14ac:dyDescent="0.2">
      <c r="A10" s="716" t="s">
        <v>712</v>
      </c>
      <c r="B10" s="717" t="s">
        <v>718</v>
      </c>
      <c r="C10" s="708">
        <f>25400</f>
        <v>25400</v>
      </c>
      <c r="D10" s="705"/>
      <c r="E10" s="705"/>
      <c r="F10" s="705"/>
      <c r="G10" s="705"/>
      <c r="H10" s="336">
        <f>SUM(C10:G10)</f>
        <v>25400</v>
      </c>
      <c r="I10" s="341"/>
      <c r="J10" s="703">
        <f>27952802+3199848+561576-1999024-350976+60000+2350000+100000-220839-34782</f>
        <v>31618605</v>
      </c>
      <c r="K10" s="702"/>
      <c r="L10" s="702"/>
      <c r="M10" s="702"/>
      <c r="N10" s="702"/>
      <c r="O10" s="704">
        <f>SUM(J10:N10)</f>
        <v>31618605</v>
      </c>
      <c r="P10" s="493"/>
    </row>
    <row r="11" spans="1:194" x14ac:dyDescent="0.2">
      <c r="A11" s="718" t="s">
        <v>713</v>
      </c>
      <c r="B11" s="719" t="s">
        <v>719</v>
      </c>
      <c r="C11" s="338">
        <f>9378983</f>
        <v>9378983</v>
      </c>
      <c r="D11" s="339"/>
      <c r="E11" s="339"/>
      <c r="F11" s="339"/>
      <c r="G11" s="339"/>
      <c r="H11" s="704">
        <f>SUM(C11:G11)</f>
        <v>9378983</v>
      </c>
      <c r="I11" s="341"/>
      <c r="J11" s="342">
        <f>1000000+500000</f>
        <v>1500000</v>
      </c>
      <c r="K11" s="1010"/>
      <c r="L11" s="339"/>
      <c r="M11" s="339"/>
      <c r="N11" s="339"/>
      <c r="O11" s="704">
        <f t="shared" ref="O11:O15" si="0">SUM(J11:N11)</f>
        <v>1500000</v>
      </c>
      <c r="P11" s="493"/>
    </row>
    <row r="12" spans="1:194" ht="25.5" x14ac:dyDescent="0.2">
      <c r="A12" s="718" t="s">
        <v>714</v>
      </c>
      <c r="B12" s="719" t="s">
        <v>720</v>
      </c>
      <c r="C12" s="338">
        <f>34904538+2125000</f>
        <v>37029538</v>
      </c>
      <c r="D12" s="339">
        <f>5596040+21787500+82875000</f>
        <v>110258540</v>
      </c>
      <c r="E12" s="339"/>
      <c r="F12" s="339"/>
      <c r="G12" s="339"/>
      <c r="H12" s="343">
        <f t="shared" ref="H12:H15" si="1">SUM(C12:G12)</f>
        <v>147288078</v>
      </c>
      <c r="I12" s="344"/>
      <c r="J12" s="1048">
        <f>34588831+400000+1778250+346750-1778250-346750+866141+708661+425198-758196-204713+23353056+352940-70000-18900-866141-708661-425198-10300000+100000</f>
        <v>47443018</v>
      </c>
      <c r="K12" s="1103">
        <f>239507251+45359984+20445905+16502091+230000+758196+204713-23353056+15748031+4251969+23622047+6377953+27812784+7128276+543400+146718+70000+18900+295234-100000</f>
        <v>385570396</v>
      </c>
      <c r="L12" s="1010"/>
      <c r="M12" s="339"/>
      <c r="N12" s="339"/>
      <c r="O12" s="704">
        <f t="shared" si="0"/>
        <v>433013414</v>
      </c>
      <c r="P12" s="493"/>
    </row>
    <row r="13" spans="1:194" ht="25.5" x14ac:dyDescent="0.2">
      <c r="A13" s="718" t="s">
        <v>715</v>
      </c>
      <c r="B13" s="719" t="s">
        <v>440</v>
      </c>
      <c r="C13" s="338">
        <f>1000000+66929+752700+18071</f>
        <v>1837700</v>
      </c>
      <c r="D13" s="345"/>
      <c r="E13" s="339"/>
      <c r="F13" s="339"/>
      <c r="G13" s="339"/>
      <c r="H13" s="343">
        <f t="shared" si="1"/>
        <v>1837700</v>
      </c>
      <c r="I13" s="346" t="e">
        <f>SUM(#REF!)</f>
        <v>#REF!</v>
      </c>
      <c r="J13" s="1048">
        <f>8389838-31496-35433-5228+47565+10692+13900-99961+16949-44188+62358-281048-75882-82130-63177+169291+45709-1500000</f>
        <v>6537759</v>
      </c>
      <c r="K13" s="339">
        <f>300000</f>
        <v>300000</v>
      </c>
      <c r="L13" s="339"/>
      <c r="M13" s="339"/>
      <c r="N13" s="339"/>
      <c r="O13" s="704">
        <f t="shared" si="0"/>
        <v>6837759</v>
      </c>
      <c r="P13" s="493"/>
    </row>
    <row r="14" spans="1:194" ht="25.5" x14ac:dyDescent="0.2">
      <c r="A14" s="718" t="s">
        <v>716</v>
      </c>
      <c r="B14" s="719" t="s">
        <v>721</v>
      </c>
      <c r="C14" s="1168">
        <f>1587852850-2600335-5000000+9625137+1404000+56811000-53811000+350000-4709893+4709893-686510-24250000-1651131-11754283+45672254+13640749+1188591+3937491-1796961-430288-1999597+5336407-143902108</f>
        <v>1477936266</v>
      </c>
      <c r="D14" s="1103">
        <f>310000000+30000000+29999900+139000</f>
        <v>370138900</v>
      </c>
      <c r="E14" s="339"/>
      <c r="F14" s="347"/>
      <c r="G14" s="347"/>
      <c r="H14" s="343">
        <f t="shared" si="1"/>
        <v>1848075166</v>
      </c>
      <c r="I14" s="341"/>
      <c r="J14" s="342">
        <f>42004332+3200000+100000+6500000</f>
        <v>51804332</v>
      </c>
      <c r="K14" s="339"/>
      <c r="L14" s="347"/>
      <c r="M14" s="347"/>
      <c r="N14" s="347"/>
      <c r="O14" s="704">
        <f t="shared" si="0"/>
        <v>51804332</v>
      </c>
      <c r="P14" s="493"/>
    </row>
    <row r="15" spans="1:194" ht="26.25" thickBot="1" x14ac:dyDescent="0.25">
      <c r="A15" s="720" t="s">
        <v>717</v>
      </c>
      <c r="B15" s="721" t="s">
        <v>438</v>
      </c>
      <c r="C15" s="709">
        <f>10000</f>
        <v>10000</v>
      </c>
      <c r="D15" s="706"/>
      <c r="E15" s="707"/>
      <c r="F15" s="707"/>
      <c r="G15" s="707">
        <f>346583469+2508353</f>
        <v>349091822</v>
      </c>
      <c r="H15" s="745">
        <f t="shared" si="1"/>
        <v>349101822</v>
      </c>
      <c r="I15" s="341"/>
      <c r="J15" s="354">
        <f>10000</f>
        <v>10000</v>
      </c>
      <c r="K15" s="351"/>
      <c r="L15" s="1020">
        <f>1477469240</f>
        <v>1477469240</v>
      </c>
      <c r="M15" s="351"/>
      <c r="N15" s="351"/>
      <c r="O15" s="704">
        <f t="shared" si="0"/>
        <v>1477479240</v>
      </c>
      <c r="P15" s="493"/>
    </row>
    <row r="16" spans="1:194" ht="14.25" thickBot="1" x14ac:dyDescent="0.3">
      <c r="A16" s="1241" t="s">
        <v>722</v>
      </c>
      <c r="B16" s="1242"/>
      <c r="C16" s="1239"/>
      <c r="D16" s="1239"/>
      <c r="E16" s="1239"/>
      <c r="F16" s="1239"/>
      <c r="G16" s="1239"/>
      <c r="H16" s="1239"/>
      <c r="I16" s="1239"/>
      <c r="J16" s="1239"/>
      <c r="K16" s="1239"/>
      <c r="L16" s="1239"/>
      <c r="M16" s="1239"/>
      <c r="N16" s="1239"/>
      <c r="O16" s="1240"/>
      <c r="P16" s="493"/>
    </row>
    <row r="17" spans="1:16" s="493" customFormat="1" ht="26.25" thickBot="1" x14ac:dyDescent="0.25">
      <c r="A17" s="739" t="s">
        <v>723</v>
      </c>
      <c r="B17" s="740" t="s">
        <v>724</v>
      </c>
      <c r="C17" s="730"/>
      <c r="D17" s="728"/>
      <c r="E17" s="728"/>
      <c r="F17" s="728"/>
      <c r="G17" s="728"/>
      <c r="H17" s="729">
        <f>SUM(C17:G17)</f>
        <v>0</v>
      </c>
      <c r="I17" s="737"/>
      <c r="J17" s="731">
        <v>103817</v>
      </c>
      <c r="K17" s="728"/>
      <c r="L17" s="728"/>
      <c r="M17" s="728"/>
      <c r="N17" s="728"/>
      <c r="O17" s="704">
        <f>SUM(J17:N17)</f>
        <v>103817</v>
      </c>
    </row>
    <row r="18" spans="1:16" s="493" customFormat="1" ht="14.25" thickBot="1" x14ac:dyDescent="0.3">
      <c r="A18" s="1243" t="s">
        <v>762</v>
      </c>
      <c r="B18" s="1244" t="s">
        <v>762</v>
      </c>
      <c r="C18" s="1238" t="s">
        <v>762</v>
      </c>
      <c r="D18" s="1238" t="s">
        <v>762</v>
      </c>
      <c r="E18" s="1238" t="s">
        <v>762</v>
      </c>
      <c r="F18" s="1238" t="s">
        <v>762</v>
      </c>
      <c r="G18" s="1238" t="s">
        <v>762</v>
      </c>
      <c r="H18" s="1238" t="s">
        <v>762</v>
      </c>
      <c r="I18" s="1239" t="s">
        <v>762</v>
      </c>
      <c r="J18" s="1238" t="s">
        <v>762</v>
      </c>
      <c r="K18" s="1238" t="s">
        <v>762</v>
      </c>
      <c r="L18" s="1238" t="s">
        <v>762</v>
      </c>
      <c r="M18" s="1238" t="s">
        <v>762</v>
      </c>
      <c r="N18" s="1238" t="s">
        <v>762</v>
      </c>
      <c r="O18" s="1259" t="s">
        <v>762</v>
      </c>
    </row>
    <row r="19" spans="1:16" s="493" customFormat="1" x14ac:dyDescent="0.2">
      <c r="A19" s="710" t="s">
        <v>763</v>
      </c>
      <c r="B19" s="711" t="s">
        <v>764</v>
      </c>
      <c r="C19" s="708">
        <v>889000</v>
      </c>
      <c r="D19" s="705"/>
      <c r="E19" s="705"/>
      <c r="F19" s="705"/>
      <c r="G19" s="705"/>
      <c r="H19" s="336">
        <f t="shared" ref="H19:H24" si="2">SUM(C19:G19)</f>
        <v>889000</v>
      </c>
      <c r="I19" s="366"/>
      <c r="J19" s="1023">
        <f>50165820+91201+2000000</f>
        <v>52257021</v>
      </c>
      <c r="K19" s="705"/>
      <c r="L19" s="705"/>
      <c r="M19" s="705"/>
      <c r="N19" s="705"/>
      <c r="O19" s="336">
        <f t="shared" ref="O19:O24" si="3">SUM(J19:N19)</f>
        <v>52257021</v>
      </c>
    </row>
    <row r="20" spans="1:16" s="493" customFormat="1" ht="25.5" x14ac:dyDescent="0.2">
      <c r="A20" s="712" t="s">
        <v>765</v>
      </c>
      <c r="B20" s="713" t="s">
        <v>766</v>
      </c>
      <c r="C20" s="338">
        <v>17152394</v>
      </c>
      <c r="D20" s="339"/>
      <c r="E20" s="339"/>
      <c r="F20" s="339"/>
      <c r="G20" s="339"/>
      <c r="H20" s="343">
        <f t="shared" si="2"/>
        <v>17152394</v>
      </c>
      <c r="I20" s="366"/>
      <c r="J20" s="342">
        <v>13277327</v>
      </c>
      <c r="K20" s="339"/>
      <c r="L20" s="339"/>
      <c r="M20" s="339"/>
      <c r="N20" s="339"/>
      <c r="O20" s="343">
        <f t="shared" si="3"/>
        <v>13277327</v>
      </c>
    </row>
    <row r="21" spans="1:16" s="493" customFormat="1" x14ac:dyDescent="0.2">
      <c r="A21" s="712" t="s">
        <v>767</v>
      </c>
      <c r="B21" s="713" t="s">
        <v>768</v>
      </c>
      <c r="C21" s="338"/>
      <c r="D21" s="339"/>
      <c r="E21" s="339"/>
      <c r="F21" s="339"/>
      <c r="G21" s="339"/>
      <c r="H21" s="343">
        <f t="shared" si="2"/>
        <v>0</v>
      </c>
      <c r="I21" s="366"/>
      <c r="J21" s="342"/>
      <c r="K21" s="339">
        <v>13809000</v>
      </c>
      <c r="L21" s="339"/>
      <c r="M21" s="339"/>
      <c r="N21" s="339"/>
      <c r="O21" s="343">
        <f t="shared" si="3"/>
        <v>13809000</v>
      </c>
    </row>
    <row r="22" spans="1:16" s="493" customFormat="1" ht="25.5" x14ac:dyDescent="0.2">
      <c r="A22" s="712" t="s">
        <v>769</v>
      </c>
      <c r="B22" s="713" t="s">
        <v>770</v>
      </c>
      <c r="C22" s="338"/>
      <c r="D22" s="339">
        <f>25377271-25377271</f>
        <v>0</v>
      </c>
      <c r="E22" s="339"/>
      <c r="F22" s="339"/>
      <c r="G22" s="339"/>
      <c r="H22" s="343">
        <f t="shared" si="2"/>
        <v>0</v>
      </c>
      <c r="I22" s="366"/>
      <c r="J22" s="1048">
        <f>6918729+18000+4860+1400000</f>
        <v>8341589</v>
      </c>
      <c r="K22" s="1103">
        <f>52310187-22602726-6011851+204724409+55275591-1400000</f>
        <v>282295610</v>
      </c>
      <c r="L22" s="339"/>
      <c r="M22" s="339"/>
      <c r="N22" s="339"/>
      <c r="O22" s="343">
        <f t="shared" si="3"/>
        <v>290637199</v>
      </c>
    </row>
    <row r="23" spans="1:16" s="493" customFormat="1" ht="25.5" x14ac:dyDescent="0.2">
      <c r="A23" s="712" t="s">
        <v>771</v>
      </c>
      <c r="B23" s="713" t="s">
        <v>772</v>
      </c>
      <c r="C23" s="338"/>
      <c r="D23" s="339"/>
      <c r="E23" s="339"/>
      <c r="F23" s="339"/>
      <c r="G23" s="339"/>
      <c r="H23" s="343">
        <f t="shared" si="2"/>
        <v>0</v>
      </c>
      <c r="I23" s="366"/>
      <c r="J23" s="342">
        <f>3082677+140102</f>
        <v>3222779</v>
      </c>
      <c r="K23" s="1010">
        <f>12076323-140102</f>
        <v>11936221</v>
      </c>
      <c r="L23" s="339"/>
      <c r="M23" s="339"/>
      <c r="N23" s="339"/>
      <c r="O23" s="343">
        <f t="shared" si="3"/>
        <v>15159000</v>
      </c>
    </row>
    <row r="24" spans="1:16" s="493" customFormat="1" ht="26.25" thickBot="1" x14ac:dyDescent="0.25">
      <c r="A24" s="714" t="s">
        <v>773</v>
      </c>
      <c r="B24" s="715" t="s">
        <v>774</v>
      </c>
      <c r="C24" s="709"/>
      <c r="D24" s="707">
        <f>3487179</f>
        <v>3487179</v>
      </c>
      <c r="E24" s="707"/>
      <c r="F24" s="707"/>
      <c r="G24" s="707"/>
      <c r="H24" s="745">
        <f t="shared" si="2"/>
        <v>3487179</v>
      </c>
      <c r="I24" s="366"/>
      <c r="J24" s="738">
        <f>698500</f>
        <v>698500</v>
      </c>
      <c r="K24" s="707">
        <f>1270000</f>
        <v>1270000</v>
      </c>
      <c r="L24" s="707"/>
      <c r="M24" s="707"/>
      <c r="N24" s="707"/>
      <c r="O24" s="745">
        <f t="shared" si="3"/>
        <v>1968500</v>
      </c>
    </row>
    <row r="25" spans="1:16" ht="14.25" thickBot="1" x14ac:dyDescent="0.3">
      <c r="A25" s="1243" t="s">
        <v>725</v>
      </c>
      <c r="B25" s="1244"/>
      <c r="C25" s="1244"/>
      <c r="D25" s="1244"/>
      <c r="E25" s="1244"/>
      <c r="F25" s="1244"/>
      <c r="G25" s="1244"/>
      <c r="H25" s="1244"/>
      <c r="I25" s="1238"/>
      <c r="J25" s="1244"/>
      <c r="K25" s="1244"/>
      <c r="L25" s="1244"/>
      <c r="M25" s="1244"/>
      <c r="N25" s="1244"/>
      <c r="O25" s="1245"/>
      <c r="P25" s="493"/>
    </row>
    <row r="26" spans="1:16" ht="25.5" x14ac:dyDescent="0.25">
      <c r="A26" s="913" t="s">
        <v>811</v>
      </c>
      <c r="B26" s="914" t="s">
        <v>812</v>
      </c>
      <c r="C26" s="911">
        <v>16392698</v>
      </c>
      <c r="D26" s="912">
        <v>2634996</v>
      </c>
      <c r="E26" s="897"/>
      <c r="F26" s="897"/>
      <c r="G26" s="897"/>
      <c r="H26" s="336">
        <f t="shared" ref="H26:H29" si="4">SUM(C26:G26)</f>
        <v>19027694</v>
      </c>
      <c r="I26" s="896"/>
      <c r="J26" s="911">
        <f>406220+63980+12537400+3385098</f>
        <v>16392698</v>
      </c>
      <c r="K26" s="912">
        <f>2074800+560196</f>
        <v>2634996</v>
      </c>
      <c r="L26" s="912"/>
      <c r="M26" s="912"/>
      <c r="N26" s="912"/>
      <c r="O26" s="336">
        <f t="shared" ref="O26:O29" si="5">SUM(J26:N26)</f>
        <v>19027694</v>
      </c>
      <c r="P26" s="493"/>
    </row>
    <row r="27" spans="1:16" ht="38.25" x14ac:dyDescent="0.2">
      <c r="A27" s="765" t="s">
        <v>726</v>
      </c>
      <c r="B27" s="767" t="s">
        <v>727</v>
      </c>
      <c r="C27" s="703">
        <f>507601+2984246</f>
        <v>3491847</v>
      </c>
      <c r="D27" s="894"/>
      <c r="E27" s="894"/>
      <c r="F27" s="894"/>
      <c r="G27" s="894"/>
      <c r="H27" s="704">
        <f t="shared" si="4"/>
        <v>3491847</v>
      </c>
      <c r="I27" s="367"/>
      <c r="J27" s="1169">
        <f>16688593+2349800+634446-5700000</f>
        <v>13972839</v>
      </c>
      <c r="K27" s="894"/>
      <c r="L27" s="894"/>
      <c r="M27" s="894"/>
      <c r="N27" s="894"/>
      <c r="O27" s="704">
        <f t="shared" si="5"/>
        <v>13972839</v>
      </c>
      <c r="P27" s="493"/>
    </row>
    <row r="28" spans="1:16" ht="25.5" x14ac:dyDescent="0.2">
      <c r="A28" s="712" t="s">
        <v>728</v>
      </c>
      <c r="B28" s="768" t="s">
        <v>442</v>
      </c>
      <c r="C28" s="342"/>
      <c r="D28" s="339"/>
      <c r="E28" s="339"/>
      <c r="F28" s="339"/>
      <c r="G28" s="339"/>
      <c r="H28" s="343">
        <f t="shared" si="4"/>
        <v>0</v>
      </c>
      <c r="I28" s="367"/>
      <c r="J28" s="349">
        <v>835000</v>
      </c>
      <c r="K28" s="347"/>
      <c r="L28" s="347"/>
      <c r="M28" s="347"/>
      <c r="N28" s="347"/>
      <c r="O28" s="704">
        <f t="shared" si="5"/>
        <v>835000</v>
      </c>
      <c r="P28" s="493"/>
    </row>
    <row r="29" spans="1:16" ht="26.25" thickBot="1" x14ac:dyDescent="0.25">
      <c r="A29" s="714" t="s">
        <v>729</v>
      </c>
      <c r="B29" s="769" t="s">
        <v>730</v>
      </c>
      <c r="C29" s="738">
        <f>950000</f>
        <v>950000</v>
      </c>
      <c r="D29" s="723"/>
      <c r="E29" s="724"/>
      <c r="F29" s="723"/>
      <c r="G29" s="723"/>
      <c r="H29" s="745">
        <f t="shared" si="4"/>
        <v>950000</v>
      </c>
      <c r="I29" s="895"/>
      <c r="J29" s="726"/>
      <c r="K29" s="707">
        <v>359410</v>
      </c>
      <c r="L29" s="723"/>
      <c r="M29" s="723"/>
      <c r="N29" s="723"/>
      <c r="O29" s="766">
        <f t="shared" si="5"/>
        <v>359410</v>
      </c>
      <c r="P29" s="493"/>
    </row>
    <row r="30" spans="1:16" ht="14.25" thickBot="1" x14ac:dyDescent="0.3">
      <c r="A30" s="1264" t="s">
        <v>736</v>
      </c>
      <c r="B30" s="1265"/>
      <c r="C30" s="1265"/>
      <c r="D30" s="1265"/>
      <c r="E30" s="1265"/>
      <c r="F30" s="1265"/>
      <c r="G30" s="1265"/>
      <c r="H30" s="1265"/>
      <c r="I30" s="1265"/>
      <c r="J30" s="1265"/>
      <c r="K30" s="1265"/>
      <c r="L30" s="1265"/>
      <c r="M30" s="1265"/>
      <c r="N30" s="1265"/>
      <c r="O30" s="1266"/>
      <c r="P30" s="493"/>
    </row>
    <row r="31" spans="1:16" ht="25.5" x14ac:dyDescent="0.2">
      <c r="A31" s="710" t="s">
        <v>786</v>
      </c>
      <c r="B31" s="893" t="s">
        <v>787</v>
      </c>
      <c r="C31" s="1023">
        <f>14717864+35012760+15905400</f>
        <v>65636024</v>
      </c>
      <c r="D31" s="1024">
        <f>25377271+355250792+12274550+159691150</f>
        <v>552593763</v>
      </c>
      <c r="E31" s="1026"/>
      <c r="F31" s="705"/>
      <c r="G31" s="705"/>
      <c r="H31" s="336">
        <f t="shared" ref="H31" si="6">SUM(C31:G31)</f>
        <v>618229787</v>
      </c>
      <c r="I31" s="722"/>
      <c r="J31" s="1023">
        <f>6623900+1043264+5551732+1498968+5162073+813027+22864299+6173361+4020000+1085400+10800000-6623900-1043264+6037137+1630027</f>
        <v>65636024</v>
      </c>
      <c r="K31" s="1024">
        <f>22602726+6011851+14620000+195843428+1181102+57144024+63080502+17031736+4860000+1060000+3745000+2609550+128745000+23961150</f>
        <v>542496069</v>
      </c>
      <c r="L31" s="705"/>
      <c r="M31" s="705"/>
      <c r="N31" s="705"/>
      <c r="O31" s="336">
        <f t="shared" ref="O31" si="7">SUM(J31:N31)</f>
        <v>608132093</v>
      </c>
      <c r="P31" s="493"/>
    </row>
    <row r="32" spans="1:16" x14ac:dyDescent="0.2">
      <c r="A32" s="765" t="s">
        <v>731</v>
      </c>
      <c r="B32" s="767" t="s">
        <v>433</v>
      </c>
      <c r="C32" s="703"/>
      <c r="D32" s="702"/>
      <c r="E32" s="701"/>
      <c r="F32" s="702"/>
      <c r="G32" s="702"/>
      <c r="H32" s="704">
        <f t="shared" ref="H32:H34" si="8">SUM(C32:G32)</f>
        <v>0</v>
      </c>
      <c r="I32" s="348"/>
      <c r="J32" s="1169">
        <f>27068590+78740+21260-1400000</f>
        <v>25768590</v>
      </c>
      <c r="K32" s="702">
        <f>4508500</f>
        <v>4508500</v>
      </c>
      <c r="L32" s="702"/>
      <c r="M32" s="702"/>
      <c r="N32" s="702"/>
      <c r="O32" s="704">
        <f t="shared" ref="O32:O34" si="9">SUM(J32:N32)</f>
        <v>30277090</v>
      </c>
      <c r="P32" s="493"/>
    </row>
    <row r="33" spans="1:16" x14ac:dyDescent="0.2">
      <c r="A33" s="712" t="s">
        <v>732</v>
      </c>
      <c r="B33" s="768" t="s">
        <v>733</v>
      </c>
      <c r="C33" s="770"/>
      <c r="D33" s="339"/>
      <c r="E33" s="339"/>
      <c r="F33" s="339"/>
      <c r="G33" s="339"/>
      <c r="H33" s="343">
        <f t="shared" si="8"/>
        <v>0</v>
      </c>
      <c r="I33" s="348"/>
      <c r="J33" s="342">
        <f>16314715+78740+21260</f>
        <v>16414715</v>
      </c>
      <c r="K33" s="339"/>
      <c r="L33" s="339"/>
      <c r="M33" s="339"/>
      <c r="N33" s="339"/>
      <c r="O33" s="704">
        <f t="shared" si="9"/>
        <v>16414715</v>
      </c>
      <c r="P33" s="493"/>
    </row>
    <row r="34" spans="1:16" ht="26.25" thickBot="1" x14ac:dyDescent="0.25">
      <c r="A34" s="714" t="s">
        <v>734</v>
      </c>
      <c r="B34" s="769" t="s">
        <v>735</v>
      </c>
      <c r="C34" s="738">
        <f>7818450+2520375+3020044+15000000</f>
        <v>28358869</v>
      </c>
      <c r="D34" s="1025">
        <v>145100</v>
      </c>
      <c r="E34" s="707">
        <v>6000000</v>
      </c>
      <c r="F34" s="707"/>
      <c r="G34" s="707"/>
      <c r="H34" s="745">
        <f t="shared" si="8"/>
        <v>34503969</v>
      </c>
      <c r="I34" s="725"/>
      <c r="J34" s="1170">
        <f>109346348+580000-861300+861300-5700000-1539000+2145000+375375+2570250+449794+104000+15000000-70000+70000+3000000-9700000-4000000</f>
        <v>112631767</v>
      </c>
      <c r="K34" s="1025">
        <f>3155001+1539000+5700000+23622047+6377953</f>
        <v>40394001</v>
      </c>
      <c r="L34" s="707"/>
      <c r="M34" s="707"/>
      <c r="N34" s="707"/>
      <c r="O34" s="766">
        <f t="shared" si="9"/>
        <v>153025768</v>
      </c>
      <c r="P34" s="493"/>
    </row>
    <row r="35" spans="1:16" ht="15.75" thickBot="1" x14ac:dyDescent="0.3">
      <c r="A35" s="1267" t="s">
        <v>737</v>
      </c>
      <c r="B35" s="1268"/>
      <c r="C35" s="1269"/>
      <c r="D35" s="1269"/>
      <c r="E35" s="1269"/>
      <c r="F35" s="1269"/>
      <c r="G35" s="1269"/>
      <c r="H35" s="1269"/>
      <c r="I35" s="1269"/>
      <c r="J35" s="1269"/>
      <c r="K35" s="1269"/>
      <c r="L35" s="1269"/>
      <c r="M35" s="1269"/>
      <c r="N35" s="1269"/>
      <c r="O35" s="1270"/>
      <c r="P35" s="493"/>
    </row>
    <row r="36" spans="1:16" x14ac:dyDescent="0.2">
      <c r="A36" s="735" t="s">
        <v>738</v>
      </c>
      <c r="B36" s="719" t="s">
        <v>1</v>
      </c>
      <c r="C36" s="338"/>
      <c r="D36" s="338"/>
      <c r="E36" s="338"/>
      <c r="F36" s="338"/>
      <c r="G36" s="338"/>
      <c r="H36" s="343">
        <f t="shared" ref="H36:H39" si="10">SUM(C36:G36)</f>
        <v>0</v>
      </c>
      <c r="I36" s="353"/>
      <c r="J36" s="749">
        <v>45600000</v>
      </c>
      <c r="K36" s="339"/>
      <c r="L36" s="339"/>
      <c r="M36" s="339"/>
      <c r="N36" s="339"/>
      <c r="O36" s="704">
        <f t="shared" ref="O36:O39" si="11">SUM(J36:N36)</f>
        <v>45600000</v>
      </c>
      <c r="P36" s="493"/>
    </row>
    <row r="37" spans="1:16" x14ac:dyDescent="0.2">
      <c r="A37" s="735" t="s">
        <v>739</v>
      </c>
      <c r="B37" s="719" t="s">
        <v>4</v>
      </c>
      <c r="C37" s="338"/>
      <c r="D37" s="339"/>
      <c r="E37" s="339"/>
      <c r="F37" s="339"/>
      <c r="G37" s="339"/>
      <c r="H37" s="343">
        <f t="shared" si="10"/>
        <v>0</v>
      </c>
      <c r="I37" s="348"/>
      <c r="J37" s="342">
        <v>4500000</v>
      </c>
      <c r="K37" s="339"/>
      <c r="L37" s="339"/>
      <c r="M37" s="339"/>
      <c r="N37" s="339"/>
      <c r="O37" s="704">
        <f t="shared" si="11"/>
        <v>4500000</v>
      </c>
      <c r="P37" s="493"/>
    </row>
    <row r="38" spans="1:16" ht="25.5" x14ac:dyDescent="0.2">
      <c r="A38" s="735" t="s">
        <v>740</v>
      </c>
      <c r="B38" s="719" t="s">
        <v>742</v>
      </c>
      <c r="C38" s="338">
        <f>1109692+340000</f>
        <v>1449692</v>
      </c>
      <c r="D38" s="339"/>
      <c r="E38" s="339"/>
      <c r="F38" s="339"/>
      <c r="G38" s="339"/>
      <c r="H38" s="343">
        <f t="shared" si="10"/>
        <v>1449692</v>
      </c>
      <c r="I38" s="341"/>
      <c r="J38" s="342">
        <f>20525292-100000-200000-81000+34884+4400000+340000-78740-21260</f>
        <v>24819176</v>
      </c>
      <c r="K38" s="339">
        <f>300000+46116</f>
        <v>346116</v>
      </c>
      <c r="L38" s="339"/>
      <c r="M38" s="339"/>
      <c r="N38" s="339"/>
      <c r="O38" s="704">
        <f t="shared" si="11"/>
        <v>25165292</v>
      </c>
      <c r="P38" s="493"/>
    </row>
    <row r="39" spans="1:16" ht="26.25" thickBot="1" x14ac:dyDescent="0.25">
      <c r="A39" s="736" t="s">
        <v>741</v>
      </c>
      <c r="B39" s="721" t="s">
        <v>743</v>
      </c>
      <c r="C39" s="350">
        <v>400000</v>
      </c>
      <c r="D39" s="351"/>
      <c r="E39" s="351"/>
      <c r="F39" s="351"/>
      <c r="G39" s="351"/>
      <c r="H39" s="352">
        <f t="shared" si="10"/>
        <v>400000</v>
      </c>
      <c r="I39" s="348"/>
      <c r="J39" s="1014">
        <f>345000+54851-54851+85039+65429+31866+78740+38926-84080-6293+60774+15938+13661-20000-28311+153301</f>
        <v>749990</v>
      </c>
      <c r="K39" s="1012">
        <f>5000+78740+21260-82667-22323</f>
        <v>10</v>
      </c>
      <c r="L39" s="351"/>
      <c r="M39" s="351"/>
      <c r="N39" s="351"/>
      <c r="O39" s="704">
        <f t="shared" si="11"/>
        <v>750000</v>
      </c>
      <c r="P39" s="493"/>
    </row>
    <row r="40" spans="1:16" ht="14.25" thickBot="1" x14ac:dyDescent="0.3">
      <c r="A40" s="1243" t="s">
        <v>744</v>
      </c>
      <c r="B40" s="1244"/>
      <c r="C40" s="1239"/>
      <c r="D40" s="1239"/>
      <c r="E40" s="1239"/>
      <c r="F40" s="1239"/>
      <c r="G40" s="1239"/>
      <c r="H40" s="1239"/>
      <c r="I40" s="1239"/>
      <c r="J40" s="1239"/>
      <c r="K40" s="1239"/>
      <c r="L40" s="1239"/>
      <c r="M40" s="1239"/>
      <c r="N40" s="1239"/>
      <c r="O40" s="1240"/>
      <c r="P40" s="493"/>
    </row>
    <row r="41" spans="1:16" s="492" customFormat="1" ht="25.5" x14ac:dyDescent="0.2">
      <c r="A41" s="1042" t="s">
        <v>830</v>
      </c>
      <c r="B41" s="1041" t="s">
        <v>831</v>
      </c>
      <c r="C41" s="1023">
        <v>939800</v>
      </c>
      <c r="D41" s="892"/>
      <c r="E41" s="892"/>
      <c r="F41" s="892"/>
      <c r="G41" s="892"/>
      <c r="H41" s="1040">
        <f t="shared" ref="H41:H43" si="12">SUM(C41:G41)</f>
        <v>939800</v>
      </c>
      <c r="I41" s="548"/>
      <c r="J41" s="1023">
        <f>100000+610000+191700+38100</f>
        <v>939800</v>
      </c>
      <c r="K41" s="892"/>
      <c r="L41" s="892"/>
      <c r="M41" s="892"/>
      <c r="N41" s="892"/>
      <c r="O41" s="1040">
        <f t="shared" ref="O41:O44" si="13">SUM(J41:N41)</f>
        <v>939800</v>
      </c>
    </row>
    <row r="42" spans="1:16" x14ac:dyDescent="0.2">
      <c r="A42" s="915" t="s">
        <v>745</v>
      </c>
      <c r="B42" s="916" t="s">
        <v>600</v>
      </c>
      <c r="C42" s="730">
        <f>635000</f>
        <v>635000</v>
      </c>
      <c r="D42" s="728"/>
      <c r="E42" s="728"/>
      <c r="F42" s="728"/>
      <c r="G42" s="728"/>
      <c r="H42" s="704">
        <f t="shared" ref="H42" si="14">SUM(C42:G42)</f>
        <v>635000</v>
      </c>
      <c r="I42" s="348"/>
      <c r="J42" s="731">
        <f>6732663</f>
        <v>6732663</v>
      </c>
      <c r="K42" s="728"/>
      <c r="L42" s="728"/>
      <c r="M42" s="728"/>
      <c r="N42" s="728"/>
      <c r="O42" s="704">
        <f t="shared" ref="O42" si="15">SUM(J42:N42)</f>
        <v>6732663</v>
      </c>
      <c r="P42" s="493"/>
    </row>
    <row r="43" spans="1:16" s="492" customFormat="1" x14ac:dyDescent="0.2">
      <c r="A43" s="735" t="s">
        <v>746</v>
      </c>
      <c r="B43" s="719" t="s">
        <v>434</v>
      </c>
      <c r="C43" s="350">
        <f>2935064+400000</f>
        <v>3335064</v>
      </c>
      <c r="D43" s="748"/>
      <c r="E43" s="748"/>
      <c r="F43" s="748"/>
      <c r="G43" s="748"/>
      <c r="H43" s="343">
        <f t="shared" si="12"/>
        <v>3335064</v>
      </c>
      <c r="I43" s="548"/>
      <c r="J43" s="1077">
        <f>23326783+437750+1236244+101823+9625137+400000+255621+4000000</f>
        <v>39383358</v>
      </c>
      <c r="K43" s="351">
        <f>26269106</f>
        <v>26269106</v>
      </c>
      <c r="L43" s="351"/>
      <c r="M43" s="351"/>
      <c r="N43" s="351"/>
      <c r="O43" s="704">
        <f t="shared" si="13"/>
        <v>65652464</v>
      </c>
    </row>
    <row r="44" spans="1:16" s="492" customFormat="1" ht="39" thickBot="1" x14ac:dyDescent="0.25">
      <c r="A44" s="736" t="s">
        <v>747</v>
      </c>
      <c r="B44" s="721" t="s">
        <v>748</v>
      </c>
      <c r="C44" s="350">
        <f>67037993</f>
        <v>67037993</v>
      </c>
      <c r="D44" s="1012">
        <f>47949076-2021904</f>
        <v>45927172</v>
      </c>
      <c r="E44" s="748"/>
      <c r="F44" s="748"/>
      <c r="G44" s="748"/>
      <c r="H44" s="352">
        <f>SUM(C44:G44)</f>
        <v>112965165</v>
      </c>
      <c r="I44" s="548"/>
      <c r="J44" s="1077">
        <f>84625796+100000</f>
        <v>84725796</v>
      </c>
      <c r="K44" s="1020">
        <f>49155576-100000</f>
        <v>49055576</v>
      </c>
      <c r="L44" s="351"/>
      <c r="M44" s="351"/>
      <c r="N44" s="351"/>
      <c r="O44" s="704">
        <f t="shared" si="13"/>
        <v>133781372</v>
      </c>
    </row>
    <row r="45" spans="1:16" ht="14.25" thickBot="1" x14ac:dyDescent="0.3">
      <c r="A45" s="1243" t="s">
        <v>749</v>
      </c>
      <c r="B45" s="1244"/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40"/>
      <c r="P45" s="493"/>
    </row>
    <row r="46" spans="1:16" x14ac:dyDescent="0.2">
      <c r="A46" s="734" t="s">
        <v>750</v>
      </c>
      <c r="B46" s="717" t="s">
        <v>557</v>
      </c>
      <c r="C46" s="730"/>
      <c r="D46" s="728"/>
      <c r="E46" s="728"/>
      <c r="F46" s="728"/>
      <c r="G46" s="728"/>
      <c r="H46" s="704">
        <f t="shared" ref="H46:H53" si="16">SUM(C46:G46)</f>
        <v>0</v>
      </c>
      <c r="I46" s="348"/>
      <c r="J46" s="731">
        <f>300000</f>
        <v>300000</v>
      </c>
      <c r="K46" s="728"/>
      <c r="L46" s="728"/>
      <c r="M46" s="728"/>
      <c r="N46" s="728"/>
      <c r="O46" s="704">
        <f t="shared" ref="O46:O53" si="17">SUM(J46:N46)</f>
        <v>300000</v>
      </c>
      <c r="P46" s="493"/>
    </row>
    <row r="47" spans="1:16" x14ac:dyDescent="0.2">
      <c r="A47" s="735" t="s">
        <v>751</v>
      </c>
      <c r="B47" s="719" t="s">
        <v>540</v>
      </c>
      <c r="C47" s="350"/>
      <c r="D47" s="351"/>
      <c r="E47" s="351"/>
      <c r="F47" s="351"/>
      <c r="G47" s="351"/>
      <c r="H47" s="343">
        <f t="shared" si="16"/>
        <v>0</v>
      </c>
      <c r="I47" s="348"/>
      <c r="J47" s="1077">
        <f>49047304-4300000</f>
        <v>44747304</v>
      </c>
      <c r="K47" s="351"/>
      <c r="L47" s="351"/>
      <c r="M47" s="351"/>
      <c r="N47" s="351"/>
      <c r="O47" s="704">
        <f t="shared" si="17"/>
        <v>44747304</v>
      </c>
      <c r="P47" s="493"/>
    </row>
    <row r="48" spans="1:16" x14ac:dyDescent="0.2">
      <c r="A48" s="1100" t="s">
        <v>847</v>
      </c>
      <c r="B48" s="1101" t="s">
        <v>848</v>
      </c>
      <c r="C48" s="1011"/>
      <c r="D48" s="1012"/>
      <c r="E48" s="1012"/>
      <c r="F48" s="1012"/>
      <c r="G48" s="1012"/>
      <c r="H48" s="343">
        <f t="shared" si="16"/>
        <v>0</v>
      </c>
      <c r="I48" s="348"/>
      <c r="J48" s="1077">
        <f>393701+1044827+351952-317500</f>
        <v>1472980</v>
      </c>
      <c r="K48" s="1020">
        <f>440567+118953+317500</f>
        <v>877020</v>
      </c>
      <c r="L48" s="1012"/>
      <c r="M48" s="1012"/>
      <c r="N48" s="1012"/>
      <c r="O48" s="1022">
        <f t="shared" si="17"/>
        <v>2350000</v>
      </c>
      <c r="P48" s="493"/>
    </row>
    <row r="49" spans="1:16" ht="25.5" x14ac:dyDescent="0.2">
      <c r="A49" s="735" t="s">
        <v>752</v>
      </c>
      <c r="B49" s="719" t="s">
        <v>584</v>
      </c>
      <c r="C49" s="350"/>
      <c r="D49" s="351"/>
      <c r="E49" s="351"/>
      <c r="F49" s="351"/>
      <c r="G49" s="351"/>
      <c r="H49" s="343">
        <f t="shared" si="16"/>
        <v>0</v>
      </c>
      <c r="I49" s="348"/>
      <c r="J49" s="1102">
        <f>24250000+67500-24250000</f>
        <v>67500</v>
      </c>
      <c r="K49" s="351"/>
      <c r="L49" s="351"/>
      <c r="M49" s="351"/>
      <c r="N49" s="351"/>
      <c r="O49" s="704">
        <f t="shared" si="17"/>
        <v>67500</v>
      </c>
      <c r="P49" s="493"/>
    </row>
    <row r="50" spans="1:16" ht="25.5" x14ac:dyDescent="0.2">
      <c r="A50" s="735" t="s">
        <v>753</v>
      </c>
      <c r="B50" s="719" t="s">
        <v>754</v>
      </c>
      <c r="C50" s="350">
        <f>300000</f>
        <v>300000</v>
      </c>
      <c r="D50" s="351"/>
      <c r="E50" s="351"/>
      <c r="F50" s="351"/>
      <c r="G50" s="351"/>
      <c r="H50" s="343">
        <f t="shared" si="16"/>
        <v>300000</v>
      </c>
      <c r="I50" s="348"/>
      <c r="J50" s="354">
        <f>2354100</f>
        <v>2354100</v>
      </c>
      <c r="K50" s="1012">
        <f>1905000+787402+212598</f>
        <v>2905000</v>
      </c>
      <c r="L50" s="351"/>
      <c r="M50" s="351"/>
      <c r="N50" s="351"/>
      <c r="O50" s="704">
        <f t="shared" si="17"/>
        <v>5259100</v>
      </c>
      <c r="P50" s="493"/>
    </row>
    <row r="51" spans="1:16" ht="25.5" x14ac:dyDescent="0.2">
      <c r="A51" s="735" t="s">
        <v>788</v>
      </c>
      <c r="B51" s="719" t="s">
        <v>789</v>
      </c>
      <c r="C51" s="350"/>
      <c r="D51" s="351"/>
      <c r="E51" s="351"/>
      <c r="F51" s="351"/>
      <c r="G51" s="351"/>
      <c r="H51" s="343">
        <f t="shared" ref="H51" si="18">SUM(C51:G51)</f>
        <v>0</v>
      </c>
      <c r="I51" s="348"/>
      <c r="J51" s="354">
        <f>5773228+1558772</f>
        <v>7332000</v>
      </c>
      <c r="K51" s="351"/>
      <c r="L51" s="351"/>
      <c r="M51" s="351"/>
      <c r="N51" s="351"/>
      <c r="O51" s="704">
        <f t="shared" ref="O51" si="19">SUM(J51:N51)</f>
        <v>7332000</v>
      </c>
      <c r="P51" s="493"/>
    </row>
    <row r="52" spans="1:16" ht="26.25" thickBot="1" x14ac:dyDescent="0.25">
      <c r="A52" s="736" t="s">
        <v>755</v>
      </c>
      <c r="B52" s="719" t="s">
        <v>756</v>
      </c>
      <c r="C52" s="350">
        <f>700000</f>
        <v>700000</v>
      </c>
      <c r="D52" s="351"/>
      <c r="E52" s="351"/>
      <c r="F52" s="351"/>
      <c r="G52" s="351"/>
      <c r="H52" s="352">
        <f t="shared" ref="H52" si="20">SUM(C52:G52)</f>
        <v>700000</v>
      </c>
      <c r="I52" s="348"/>
      <c r="J52" s="354">
        <f>59455000-7332000</f>
        <v>52123000</v>
      </c>
      <c r="K52" s="351"/>
      <c r="L52" s="351"/>
      <c r="M52" s="351"/>
      <c r="N52" s="351"/>
      <c r="O52" s="704">
        <f t="shared" ref="O52" si="21">SUM(J52:N52)</f>
        <v>52123000</v>
      </c>
      <c r="P52" s="493"/>
    </row>
    <row r="53" spans="1:16" s="492" customFormat="1" ht="26.25" thickBot="1" x14ac:dyDescent="0.25">
      <c r="A53" s="1043" t="s">
        <v>828</v>
      </c>
      <c r="B53" s="1044" t="s">
        <v>829</v>
      </c>
      <c r="C53" s="1011">
        <v>243100</v>
      </c>
      <c r="D53" s="1012">
        <f>691900</f>
        <v>691900</v>
      </c>
      <c r="E53" s="487"/>
      <c r="F53" s="487"/>
      <c r="G53" s="487"/>
      <c r="H53" s="1013">
        <f t="shared" si="16"/>
        <v>935000</v>
      </c>
      <c r="I53" s="548"/>
      <c r="J53" s="1014">
        <f>44173+11927+161555+25445</f>
        <v>243100</v>
      </c>
      <c r="K53" s="1012">
        <f>544803+147097</f>
        <v>691900</v>
      </c>
      <c r="L53" s="1012"/>
      <c r="M53" s="1012"/>
      <c r="N53" s="1012"/>
      <c r="O53" s="1022">
        <f t="shared" si="17"/>
        <v>935000</v>
      </c>
    </row>
    <row r="54" spans="1:16" ht="14.25" thickBot="1" x14ac:dyDescent="0.3">
      <c r="A54" s="1243" t="s">
        <v>757</v>
      </c>
      <c r="B54" s="1244"/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1239"/>
      <c r="O54" s="1240"/>
      <c r="P54" s="493"/>
    </row>
    <row r="55" spans="1:16" ht="38.25" x14ac:dyDescent="0.2">
      <c r="A55" s="734" t="s">
        <v>758</v>
      </c>
      <c r="B55" s="717" t="s">
        <v>759</v>
      </c>
      <c r="C55" s="732"/>
      <c r="D55" s="728"/>
      <c r="E55" s="728">
        <f>475500000+1000000</f>
        <v>476500000</v>
      </c>
      <c r="F55" s="728"/>
      <c r="G55" s="728"/>
      <c r="H55" s="704">
        <f t="shared" ref="H55:H56" si="22">SUM(C55:G55)</f>
        <v>476500000</v>
      </c>
      <c r="I55" s="348"/>
      <c r="J55" s="731">
        <f>10000</f>
        <v>10000</v>
      </c>
      <c r="K55" s="728"/>
      <c r="L55" s="733"/>
      <c r="M55" s="728"/>
      <c r="N55" s="728"/>
      <c r="O55" s="704">
        <f t="shared" ref="O55:O56" si="23">SUM(J55:N55)</f>
        <v>10000</v>
      </c>
      <c r="P55" s="493"/>
    </row>
    <row r="56" spans="1:16" ht="26.25" thickBot="1" x14ac:dyDescent="0.25">
      <c r="A56" s="736" t="s">
        <v>760</v>
      </c>
      <c r="B56" s="721" t="s">
        <v>761</v>
      </c>
      <c r="C56" s="355"/>
      <c r="D56" s="351"/>
      <c r="E56" s="351"/>
      <c r="F56" s="351">
        <v>169269106</v>
      </c>
      <c r="G56" s="351"/>
      <c r="H56" s="343">
        <f t="shared" si="22"/>
        <v>169269106</v>
      </c>
      <c r="I56" s="348"/>
      <c r="J56" s="354">
        <f>4070204+259082+8850000</f>
        <v>13179286</v>
      </c>
      <c r="K56" s="487"/>
      <c r="L56" s="351"/>
      <c r="M56" s="1012">
        <f>100000000+11674500+5278000</f>
        <v>116952500</v>
      </c>
      <c r="N56" s="1020">
        <f>46947321+65497460-2253677-6432757-12097120-4761209-23319276-4600000+4000000</f>
        <v>62980742</v>
      </c>
      <c r="O56" s="343">
        <f t="shared" si="23"/>
        <v>193112528</v>
      </c>
      <c r="P56" s="493"/>
    </row>
    <row r="57" spans="1:16" ht="13.5" thickBot="1" x14ac:dyDescent="0.25">
      <c r="A57" s="1260" t="s">
        <v>53</v>
      </c>
      <c r="B57" s="1261"/>
      <c r="C57" s="357">
        <f t="shared" ref="C57:G57" si="24">SUM(C10:C56)</f>
        <v>1734129368</v>
      </c>
      <c r="D57" s="357">
        <f t="shared" si="24"/>
        <v>1085877550</v>
      </c>
      <c r="E57" s="357">
        <f t="shared" si="24"/>
        <v>482500000</v>
      </c>
      <c r="F57" s="357">
        <f t="shared" si="24"/>
        <v>169269106</v>
      </c>
      <c r="G57" s="357">
        <f t="shared" si="24"/>
        <v>349091822</v>
      </c>
      <c r="H57" s="746">
        <f>SUM(H10:H56)</f>
        <v>3820867846</v>
      </c>
      <c r="I57" s="356" t="e">
        <f>SUM(I9:I13,I15:I28,I34:I36,I38:I47,I49:I56)</f>
        <v>#REF!</v>
      </c>
      <c r="J57" s="357">
        <f>SUM(J10:J56)</f>
        <v>797746433</v>
      </c>
      <c r="K57" s="357">
        <f t="shared" ref="K57:N57" si="25">SUM(K10:K56)</f>
        <v>1365718931</v>
      </c>
      <c r="L57" s="357">
        <f t="shared" si="25"/>
        <v>1477469240</v>
      </c>
      <c r="M57" s="357">
        <f t="shared" si="25"/>
        <v>116952500</v>
      </c>
      <c r="N57" s="357">
        <f t="shared" si="25"/>
        <v>62980742</v>
      </c>
      <c r="O57" s="357">
        <f>SUM(O10:O56)</f>
        <v>3820867846</v>
      </c>
      <c r="P57" s="494">
        <f>O57-H57</f>
        <v>0</v>
      </c>
    </row>
    <row r="58" spans="1:16" ht="13.5" thickBot="1" x14ac:dyDescent="0.25">
      <c r="A58" s="1262" t="s">
        <v>435</v>
      </c>
      <c r="B58" s="1263"/>
      <c r="C58" s="358"/>
      <c r="D58" s="359"/>
      <c r="E58" s="359"/>
      <c r="F58" s="359"/>
      <c r="G58" s="359"/>
      <c r="H58" s="343"/>
      <c r="I58" s="344"/>
      <c r="J58" s="360"/>
      <c r="K58" s="339"/>
      <c r="L58" s="339">
        <f>SUM(L55:L56,L46:L53,L41:L44,L36:L39,L32:L34,L27:L29,L17,L10:L15)</f>
        <v>1477469240</v>
      </c>
      <c r="M58" s="359"/>
      <c r="N58" s="359"/>
      <c r="O58" s="340">
        <f>SUM(J58:N58)</f>
        <v>1477469240</v>
      </c>
      <c r="P58" s="494"/>
    </row>
    <row r="59" spans="1:16" ht="14.25" customHeight="1" thickBot="1" x14ac:dyDescent="0.25">
      <c r="A59" s="1260" t="s">
        <v>65</v>
      </c>
      <c r="B59" s="1261"/>
      <c r="C59" s="361">
        <f t="shared" ref="C59:N59" si="26">C57-C58</f>
        <v>1734129368</v>
      </c>
      <c r="D59" s="362">
        <f t="shared" si="26"/>
        <v>1085877550</v>
      </c>
      <c r="E59" s="362">
        <f t="shared" si="26"/>
        <v>482500000</v>
      </c>
      <c r="F59" s="362">
        <f t="shared" si="26"/>
        <v>169269106</v>
      </c>
      <c r="G59" s="362">
        <f t="shared" si="26"/>
        <v>349091822</v>
      </c>
      <c r="H59" s="747">
        <f t="shared" si="26"/>
        <v>3820867846</v>
      </c>
      <c r="I59" s="363" t="e">
        <f t="shared" si="26"/>
        <v>#REF!</v>
      </c>
      <c r="J59" s="361">
        <f t="shared" si="26"/>
        <v>797746433</v>
      </c>
      <c r="K59" s="362">
        <f t="shared" si="26"/>
        <v>1365718931</v>
      </c>
      <c r="L59" s="362">
        <f t="shared" si="26"/>
        <v>0</v>
      </c>
      <c r="M59" s="362">
        <f t="shared" si="26"/>
        <v>116952500</v>
      </c>
      <c r="N59" s="362">
        <f t="shared" si="26"/>
        <v>62980742</v>
      </c>
      <c r="O59" s="364">
        <f>O57-O58</f>
        <v>2343398606</v>
      </c>
      <c r="P59" s="494"/>
    </row>
    <row r="60" spans="1:16" ht="14.25" hidden="1" customHeight="1" x14ac:dyDescent="0.2">
      <c r="B60" s="365"/>
      <c r="C60" s="366">
        <f>C59-C61</f>
        <v>0</v>
      </c>
      <c r="D60" s="366">
        <f t="shared" ref="D60:G60" si="27">D59-D61</f>
        <v>0</v>
      </c>
      <c r="E60" s="366">
        <f t="shared" si="27"/>
        <v>0</v>
      </c>
      <c r="F60" s="366">
        <f t="shared" si="27"/>
        <v>0</v>
      </c>
      <c r="G60" s="366">
        <f t="shared" si="27"/>
        <v>0</v>
      </c>
      <c r="H60" s="366">
        <f t="shared" ref="H60" si="28">H59-H61</f>
        <v>0</v>
      </c>
      <c r="I60" s="366" t="e">
        <f t="shared" ref="I60" si="29">I59-I61</f>
        <v>#REF!</v>
      </c>
      <c r="J60" s="366">
        <f t="shared" ref="J60" si="30">J59-J61</f>
        <v>0</v>
      </c>
      <c r="K60" s="366">
        <f>K59-K61</f>
        <v>0</v>
      </c>
      <c r="L60" s="366">
        <f t="shared" ref="L60" si="31">L59-L61</f>
        <v>0</v>
      </c>
      <c r="M60" s="366">
        <f t="shared" ref="M60" si="32">M59-M61</f>
        <v>0</v>
      </c>
      <c r="N60" s="366">
        <f t="shared" ref="N60" si="33">N59-N61</f>
        <v>0</v>
      </c>
      <c r="O60" s="366">
        <f>O59-O61</f>
        <v>0</v>
      </c>
    </row>
    <row r="61" spans="1:16" hidden="1" x14ac:dyDescent="0.2">
      <c r="B61" s="365"/>
      <c r="C61" s="366">
        <f>'9.1. sz. mell.'!C8+'9.1. sz. mell.'!C15+'9.1. sz. mell.'!C37+'9.1. sz. mell.'!C55+'9.1. sz. mell.'!C78</f>
        <v>1734129368</v>
      </c>
      <c r="D61" s="366">
        <f>'9.1. sz. mell.'!C22+'9.1. sz. mell.'!C49+'9.1. sz. mell.'!C60</f>
        <v>1085877550</v>
      </c>
      <c r="E61" s="366">
        <f>'9.1. sz. mell.'!C29</f>
        <v>482500000</v>
      </c>
      <c r="F61" s="366">
        <f>'9.1. sz. mell.'!C66</f>
        <v>169269106</v>
      </c>
      <c r="G61" s="366">
        <f>'9.1. sz. mell.'!C75</f>
        <v>349091822</v>
      </c>
      <c r="H61" s="750">
        <f>SUM(C61:G61)</f>
        <v>3820867846</v>
      </c>
      <c r="I61" s="367"/>
      <c r="J61" s="366">
        <f>'9.1. sz. mell.'!C93-'9.1. sz. mell.'!C111+'9.1. sz. mell.'!C140</f>
        <v>797746433</v>
      </c>
      <c r="K61" s="320">
        <f>'9.1. sz. mell.'!C114</f>
        <v>1365718931</v>
      </c>
      <c r="L61" s="369"/>
      <c r="M61" s="368">
        <f>'9.1. sz. mell.'!C129</f>
        <v>116952500</v>
      </c>
      <c r="N61" s="368">
        <f>'9.1. sz. mell.'!C111</f>
        <v>62980742</v>
      </c>
      <c r="O61" s="367">
        <f>SUM(J61:N61)</f>
        <v>2343398606</v>
      </c>
    </row>
    <row r="62" spans="1:16" x14ac:dyDescent="0.2">
      <c r="B62" s="365"/>
      <c r="C62" s="366"/>
      <c r="D62" s="366"/>
      <c r="E62" s="366"/>
      <c r="F62" s="366"/>
      <c r="G62" s="366"/>
      <c r="H62" s="750"/>
      <c r="I62" s="367"/>
      <c r="J62" s="371"/>
      <c r="K62" s="366"/>
      <c r="L62" s="370"/>
      <c r="M62" s="366"/>
      <c r="N62" s="366"/>
      <c r="O62" s="367"/>
    </row>
    <row r="63" spans="1:16" x14ac:dyDescent="0.2">
      <c r="B63" s="365"/>
      <c r="C63" s="366"/>
      <c r="D63" s="366"/>
      <c r="E63" s="366"/>
      <c r="F63" s="366"/>
      <c r="G63" s="366"/>
      <c r="H63" s="750"/>
      <c r="I63" s="367"/>
      <c r="J63" s="366"/>
      <c r="K63" s="366"/>
      <c r="L63" s="370"/>
      <c r="M63" s="366"/>
      <c r="N63" s="366"/>
      <c r="O63" s="367"/>
    </row>
    <row r="64" spans="1:16" x14ac:dyDescent="0.2">
      <c r="B64" s="365"/>
      <c r="C64" s="366"/>
      <c r="D64" s="366"/>
      <c r="E64" s="366"/>
      <c r="F64" s="366"/>
      <c r="G64" s="366"/>
      <c r="H64" s="750"/>
      <c r="I64" s="367"/>
      <c r="J64" s="366"/>
      <c r="K64" s="366"/>
      <c r="L64" s="370"/>
      <c r="M64" s="366"/>
      <c r="N64" s="366"/>
      <c r="O64" s="367"/>
    </row>
    <row r="65" spans="2:15" x14ac:dyDescent="0.2">
      <c r="B65" s="365"/>
      <c r="C65" s="366"/>
      <c r="D65" s="366"/>
      <c r="E65" s="366"/>
      <c r="F65" s="366"/>
      <c r="G65" s="366"/>
      <c r="H65" s="750"/>
      <c r="I65" s="367"/>
      <c r="J65" s="366"/>
      <c r="K65" s="366"/>
      <c r="L65" s="370"/>
      <c r="M65" s="366"/>
      <c r="N65" s="366"/>
      <c r="O65" s="367"/>
    </row>
    <row r="66" spans="2:15" x14ac:dyDescent="0.2">
      <c r="B66" s="365"/>
      <c r="C66" s="366"/>
      <c r="D66" s="366"/>
      <c r="E66" s="366"/>
      <c r="F66" s="366"/>
      <c r="G66" s="366"/>
      <c r="H66" s="750"/>
      <c r="I66" s="367"/>
      <c r="J66" s="366"/>
      <c r="K66" s="366"/>
      <c r="L66" s="370"/>
      <c r="M66" s="366"/>
      <c r="N66" s="366"/>
      <c r="O66" s="367"/>
    </row>
  </sheetData>
  <mergeCells count="20">
    <mergeCell ref="A54:O54"/>
    <mergeCell ref="A57:B57"/>
    <mergeCell ref="A58:B58"/>
    <mergeCell ref="A59:B59"/>
    <mergeCell ref="A30:O30"/>
    <mergeCell ref="A35:O35"/>
    <mergeCell ref="A40:O40"/>
    <mergeCell ref="A45:O45"/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32. számú melléklet a 4/2020.(II.28.)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view="pageLayout" zoomScaleNormal="100" zoomScaleSheetLayoutView="100" workbookViewId="0">
      <selection activeCell="C16" sqref="C16:D16"/>
    </sheetView>
  </sheetViews>
  <sheetFormatPr defaultRowHeight="12.75" x14ac:dyDescent="0.2"/>
  <cols>
    <col min="1" max="1" width="6.83203125" style="38" customWidth="1"/>
    <col min="2" max="2" width="55.1640625" style="75" customWidth="1"/>
    <col min="3" max="3" width="16" style="38" bestFit="1" customWidth="1"/>
    <col min="4" max="4" width="55.1640625" style="38" customWidth="1"/>
    <col min="5" max="5" width="16.33203125" style="38" customWidth="1"/>
    <col min="6" max="6" width="4.83203125" style="38" customWidth="1"/>
    <col min="7" max="7" width="11.1640625" style="38" hidden="1" customWidth="1"/>
    <col min="8" max="16384" width="9.33203125" style="38"/>
  </cols>
  <sheetData>
    <row r="1" spans="1:6" ht="39.75" customHeight="1" thickBot="1" x14ac:dyDescent="0.25">
      <c r="A1" s="1180" t="s">
        <v>129</v>
      </c>
      <c r="B1" s="1180"/>
      <c r="C1" s="1180"/>
      <c r="D1" s="1180"/>
      <c r="E1" s="1180"/>
      <c r="F1" s="1176"/>
    </row>
    <row r="2" spans="1:6" ht="18" customHeight="1" thickBot="1" x14ac:dyDescent="0.25">
      <c r="A2" s="1177" t="s">
        <v>70</v>
      </c>
      <c r="B2" s="554" t="s">
        <v>57</v>
      </c>
      <c r="C2" s="555"/>
      <c r="D2" s="554" t="s">
        <v>58</v>
      </c>
      <c r="E2" s="556"/>
      <c r="F2" s="1176"/>
    </row>
    <row r="3" spans="1:6" s="141" customFormat="1" ht="35.25" customHeight="1" thickBot="1" x14ac:dyDescent="0.25">
      <c r="A3" s="1178"/>
      <c r="B3" s="557" t="s">
        <v>63</v>
      </c>
      <c r="C3" s="558" t="s">
        <v>604</v>
      </c>
      <c r="D3" s="557" t="s">
        <v>63</v>
      </c>
      <c r="E3" s="559" t="str">
        <f>+C3</f>
        <v>2019.évi előirányzat</v>
      </c>
      <c r="F3" s="1176"/>
    </row>
    <row r="4" spans="1:6" s="146" customFormat="1" ht="12" customHeight="1" thickBot="1" x14ac:dyDescent="0.25">
      <c r="A4" s="142" t="s">
        <v>443</v>
      </c>
      <c r="B4" s="143" t="s">
        <v>444</v>
      </c>
      <c r="C4" s="144" t="s">
        <v>445</v>
      </c>
      <c r="D4" s="143" t="s">
        <v>495</v>
      </c>
      <c r="E4" s="145" t="s">
        <v>496</v>
      </c>
      <c r="F4" s="1176"/>
    </row>
    <row r="5" spans="1:6" ht="12.95" customHeight="1" x14ac:dyDescent="0.2">
      <c r="A5" s="560" t="s">
        <v>19</v>
      </c>
      <c r="B5" s="163" t="s">
        <v>312</v>
      </c>
      <c r="C5" s="536">
        <f>'1.1.sz.mell. '!C5</f>
        <v>1324135065</v>
      </c>
      <c r="D5" s="163" t="s">
        <v>64</v>
      </c>
      <c r="E5" s="42">
        <f>'1.1.sz.mell. '!C94</f>
        <v>1110072178</v>
      </c>
      <c r="F5" s="1176"/>
    </row>
    <row r="6" spans="1:6" ht="12.95" customHeight="1" x14ac:dyDescent="0.2">
      <c r="A6" s="561" t="s">
        <v>20</v>
      </c>
      <c r="B6" s="153" t="s">
        <v>313</v>
      </c>
      <c r="C6" s="43">
        <f>'1.1.sz.mell. '!C12</f>
        <v>372963545</v>
      </c>
      <c r="D6" s="153" t="s">
        <v>144</v>
      </c>
      <c r="E6" s="42">
        <f>'1.1.sz.mell. '!C95</f>
        <v>227162504</v>
      </c>
      <c r="F6" s="1176"/>
    </row>
    <row r="7" spans="1:6" ht="12.95" customHeight="1" x14ac:dyDescent="0.2">
      <c r="A7" s="561" t="s">
        <v>21</v>
      </c>
      <c r="B7" s="153" t="s">
        <v>333</v>
      </c>
      <c r="C7" s="43">
        <f>'1.1.sz.mell. '!C18</f>
        <v>227173142</v>
      </c>
      <c r="D7" s="153" t="s">
        <v>168</v>
      </c>
      <c r="E7" s="42">
        <f>'1.1.sz.mell. '!C96</f>
        <v>950578878</v>
      </c>
      <c r="F7" s="1176"/>
    </row>
    <row r="8" spans="1:6" ht="12.95" customHeight="1" x14ac:dyDescent="0.2">
      <c r="A8" s="561" t="s">
        <v>22</v>
      </c>
      <c r="B8" s="153" t="s">
        <v>135</v>
      </c>
      <c r="C8" s="43">
        <f>'1.1.sz.mell. '!C26</f>
        <v>482500000</v>
      </c>
      <c r="D8" s="153" t="s">
        <v>145</v>
      </c>
      <c r="E8" s="44">
        <f>'1.1.sz.mell. '!C97</f>
        <v>51600000</v>
      </c>
      <c r="F8" s="1176"/>
    </row>
    <row r="9" spans="1:6" ht="12.95" customHeight="1" x14ac:dyDescent="0.2">
      <c r="A9" s="561" t="s">
        <v>23</v>
      </c>
      <c r="B9" s="562" t="s">
        <v>358</v>
      </c>
      <c r="C9" s="43">
        <f>'1.1.sz.mell. '!C34</f>
        <v>360439284</v>
      </c>
      <c r="D9" s="153" t="s">
        <v>146</v>
      </c>
      <c r="E9" s="44">
        <f>'1.1.sz.mell. '!C98</f>
        <v>262535762</v>
      </c>
      <c r="F9" s="1176"/>
    </row>
    <row r="10" spans="1:6" ht="12.95" customHeight="1" x14ac:dyDescent="0.2">
      <c r="A10" s="561" t="s">
        <v>24</v>
      </c>
      <c r="B10" s="153" t="s">
        <v>314</v>
      </c>
      <c r="C10" s="274">
        <f>'1.1.sz.mell. '!C52</f>
        <v>2792700</v>
      </c>
      <c r="D10" s="153" t="s">
        <v>50</v>
      </c>
      <c r="E10" s="44">
        <f>'1.1.sz.mell. '!C111-'2.2.sz.mell .'!E15</f>
        <v>5503282</v>
      </c>
      <c r="F10" s="1176"/>
    </row>
    <row r="11" spans="1:6" ht="12.95" customHeight="1" x14ac:dyDescent="0.2">
      <c r="A11" s="561" t="s">
        <v>25</v>
      </c>
      <c r="B11" s="153" t="s">
        <v>497</v>
      </c>
      <c r="C11" s="43"/>
      <c r="D11" s="302"/>
      <c r="E11" s="44"/>
      <c r="F11" s="1176"/>
    </row>
    <row r="12" spans="1:6" ht="12.95" customHeight="1" x14ac:dyDescent="0.2">
      <c r="A12" s="561" t="s">
        <v>26</v>
      </c>
      <c r="B12" s="302"/>
      <c r="C12" s="43"/>
      <c r="D12" s="302"/>
      <c r="E12" s="44"/>
      <c r="F12" s="1176"/>
    </row>
    <row r="13" spans="1:6" ht="12.95" customHeight="1" x14ac:dyDescent="0.2">
      <c r="A13" s="561" t="s">
        <v>27</v>
      </c>
      <c r="B13" s="212"/>
      <c r="C13" s="274"/>
      <c r="D13" s="302"/>
      <c r="E13" s="44"/>
      <c r="F13" s="1176"/>
    </row>
    <row r="14" spans="1:6" ht="12.95" customHeight="1" x14ac:dyDescent="0.2">
      <c r="A14" s="561" t="s">
        <v>28</v>
      </c>
      <c r="B14" s="302"/>
      <c r="C14" s="43"/>
      <c r="D14" s="302"/>
      <c r="E14" s="44"/>
      <c r="F14" s="1176"/>
    </row>
    <row r="15" spans="1:6" ht="12.95" customHeight="1" x14ac:dyDescent="0.2">
      <c r="A15" s="561" t="s">
        <v>29</v>
      </c>
      <c r="B15" s="302"/>
      <c r="C15" s="43"/>
      <c r="D15" s="302"/>
      <c r="E15" s="44"/>
      <c r="F15" s="1176"/>
    </row>
    <row r="16" spans="1:6" ht="12.95" customHeight="1" thickBot="1" x14ac:dyDescent="0.25">
      <c r="A16" s="561" t="s">
        <v>30</v>
      </c>
      <c r="B16" s="563"/>
      <c r="C16" s="443"/>
      <c r="D16" s="302"/>
      <c r="E16" s="486"/>
      <c r="F16" s="1176"/>
    </row>
    <row r="17" spans="1:7" ht="15.95" customHeight="1" thickBot="1" x14ac:dyDescent="0.25">
      <c r="A17" s="151" t="s">
        <v>31</v>
      </c>
      <c r="B17" s="68" t="s">
        <v>498</v>
      </c>
      <c r="C17" s="132">
        <f>SUM(C5:C16)-C7</f>
        <v>2542830594</v>
      </c>
      <c r="D17" s="68" t="s">
        <v>319</v>
      </c>
      <c r="E17" s="136">
        <f>SUM(E5:E16)</f>
        <v>2607452604</v>
      </c>
      <c r="F17" s="1176"/>
      <c r="G17" s="38">
        <f>C17-E17</f>
        <v>-64622010</v>
      </c>
    </row>
    <row r="18" spans="1:7" ht="12.95" customHeight="1" x14ac:dyDescent="0.2">
      <c r="A18" s="564" t="s">
        <v>32</v>
      </c>
      <c r="B18" s="152" t="s">
        <v>316</v>
      </c>
      <c r="C18" s="241">
        <f>SUM(C19:C22)</f>
        <v>367267935</v>
      </c>
      <c r="D18" s="153" t="s">
        <v>152</v>
      </c>
      <c r="E18" s="137"/>
      <c r="F18" s="1176"/>
    </row>
    <row r="19" spans="1:7" ht="12.95" customHeight="1" x14ac:dyDescent="0.2">
      <c r="A19" s="561" t="s">
        <v>33</v>
      </c>
      <c r="B19" s="153" t="s">
        <v>161</v>
      </c>
      <c r="C19" s="43">
        <f>'1.1.sz.mell. '!C73</f>
        <v>367267935</v>
      </c>
      <c r="D19" s="153" t="s">
        <v>318</v>
      </c>
      <c r="E19" s="44">
        <f>'1.1.sz.mell. '!C131</f>
        <v>100000000</v>
      </c>
      <c r="F19" s="1176"/>
    </row>
    <row r="20" spans="1:7" ht="12.95" customHeight="1" x14ac:dyDescent="0.2">
      <c r="A20" s="561" t="s">
        <v>34</v>
      </c>
      <c r="B20" s="153" t="s">
        <v>162</v>
      </c>
      <c r="C20" s="43"/>
      <c r="D20" s="153" t="s">
        <v>127</v>
      </c>
      <c r="E20" s="44"/>
      <c r="F20" s="1176"/>
    </row>
    <row r="21" spans="1:7" ht="12.95" customHeight="1" x14ac:dyDescent="0.2">
      <c r="A21" s="561" t="s">
        <v>35</v>
      </c>
      <c r="B21" s="153" t="s">
        <v>166</v>
      </c>
      <c r="C21" s="43"/>
      <c r="D21" s="153" t="s">
        <v>128</v>
      </c>
      <c r="E21" s="44"/>
      <c r="F21" s="1176"/>
    </row>
    <row r="22" spans="1:7" ht="12.95" customHeight="1" x14ac:dyDescent="0.2">
      <c r="A22" s="561" t="s">
        <v>36</v>
      </c>
      <c r="B22" s="153" t="s">
        <v>167</v>
      </c>
      <c r="C22" s="43"/>
      <c r="D22" s="152" t="s">
        <v>169</v>
      </c>
      <c r="E22" s="44"/>
      <c r="F22" s="1176"/>
    </row>
    <row r="23" spans="1:7" ht="12.95" customHeight="1" x14ac:dyDescent="0.2">
      <c r="A23" s="561" t="s">
        <v>37</v>
      </c>
      <c r="B23" s="153" t="s">
        <v>317</v>
      </c>
      <c r="C23" s="154">
        <f>SUM(C24:C25)</f>
        <v>100000000</v>
      </c>
      <c r="D23" s="153" t="s">
        <v>153</v>
      </c>
      <c r="E23" s="44"/>
      <c r="F23" s="1176"/>
    </row>
    <row r="24" spans="1:7" ht="12.95" customHeight="1" x14ac:dyDescent="0.2">
      <c r="A24" s="564" t="s">
        <v>38</v>
      </c>
      <c r="B24" s="152" t="s">
        <v>315</v>
      </c>
      <c r="C24" s="133">
        <f>'1.1.sz.mell. '!C65</f>
        <v>100000000</v>
      </c>
      <c r="D24" s="163" t="s">
        <v>480</v>
      </c>
      <c r="E24" s="137"/>
      <c r="F24" s="1176"/>
    </row>
    <row r="25" spans="1:7" ht="12.95" customHeight="1" x14ac:dyDescent="0.2">
      <c r="A25" s="561" t="s">
        <v>39</v>
      </c>
      <c r="B25" s="153" t="s">
        <v>499</v>
      </c>
      <c r="C25" s="43"/>
      <c r="D25" s="153" t="s">
        <v>488</v>
      </c>
      <c r="E25" s="44"/>
      <c r="F25" s="1176"/>
    </row>
    <row r="26" spans="1:7" ht="12.95" customHeight="1" x14ac:dyDescent="0.2">
      <c r="A26" s="561" t="s">
        <v>40</v>
      </c>
      <c r="B26" s="153" t="s">
        <v>260</v>
      </c>
      <c r="C26" s="43">
        <v>45672254</v>
      </c>
      <c r="D26" s="153" t="s">
        <v>489</v>
      </c>
      <c r="E26" s="44"/>
      <c r="F26" s="1176"/>
    </row>
    <row r="27" spans="1:7" ht="12.95" customHeight="1" thickBot="1" x14ac:dyDescent="0.25">
      <c r="A27" s="564" t="s">
        <v>41</v>
      </c>
      <c r="B27" s="152" t="s">
        <v>273</v>
      </c>
      <c r="C27" s="133"/>
      <c r="D27" s="565" t="s">
        <v>546</v>
      </c>
      <c r="E27" s="137">
        <f>'1.1.sz.mell. '!C142</f>
        <v>41904332</v>
      </c>
      <c r="F27" s="1176"/>
    </row>
    <row r="28" spans="1:7" ht="21.75" customHeight="1" thickBot="1" x14ac:dyDescent="0.25">
      <c r="A28" s="151" t="s">
        <v>42</v>
      </c>
      <c r="B28" s="68" t="s">
        <v>500</v>
      </c>
      <c r="C28" s="132">
        <f>+C18+C23+C26+C27</f>
        <v>512940189</v>
      </c>
      <c r="D28" s="68" t="s">
        <v>501</v>
      </c>
      <c r="E28" s="136">
        <f>SUM(E18:E27)</f>
        <v>141904332</v>
      </c>
      <c r="F28" s="1176"/>
      <c r="G28" s="38">
        <f>C28-E28</f>
        <v>371035857</v>
      </c>
    </row>
    <row r="29" spans="1:7" ht="13.5" thickBot="1" x14ac:dyDescent="0.25">
      <c r="A29" s="151" t="s">
        <v>43</v>
      </c>
      <c r="B29" s="155" t="s">
        <v>502</v>
      </c>
      <c r="C29" s="307">
        <f>+C17+C28</f>
        <v>3055770783</v>
      </c>
      <c r="D29" s="155" t="s">
        <v>503</v>
      </c>
      <c r="E29" s="307">
        <f>E28+E17</f>
        <v>2749356936</v>
      </c>
      <c r="F29" s="1176"/>
    </row>
    <row r="30" spans="1:7" ht="13.5" thickBot="1" x14ac:dyDescent="0.25">
      <c r="A30" s="151" t="s">
        <v>44</v>
      </c>
      <c r="B30" s="155" t="s">
        <v>130</v>
      </c>
      <c r="C30" s="307">
        <f>IF(C17-E17&lt;0,E17-C17,"-")</f>
        <v>64622010</v>
      </c>
      <c r="D30" s="155" t="s">
        <v>131</v>
      </c>
      <c r="E30" s="307" t="str">
        <f>IF(C17-E17&gt;0,C17-E17,"-")</f>
        <v>-</v>
      </c>
      <c r="F30" s="1176"/>
    </row>
    <row r="31" spans="1:7" ht="13.5" thickBot="1" x14ac:dyDescent="0.25">
      <c r="A31" s="151" t="s">
        <v>45</v>
      </c>
      <c r="B31" s="155" t="s">
        <v>170</v>
      </c>
      <c r="C31" s="156" t="str">
        <f>IF(C29-E29&lt;0,E29-C29,"-")</f>
        <v>-</v>
      </c>
      <c r="D31" s="155" t="s">
        <v>171</v>
      </c>
      <c r="E31" s="307">
        <f>IF(C29-E29&gt;0,C29-E29,"-")</f>
        <v>306413847</v>
      </c>
      <c r="F31" s="1176"/>
    </row>
    <row r="32" spans="1:7" ht="18.75" x14ac:dyDescent="0.2">
      <c r="B32" s="1179"/>
      <c r="C32" s="1179"/>
      <c r="D32" s="1179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4. számú melléklet a 4/2020.(II.28.)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view="pageLayout" zoomScaleNormal="100" zoomScaleSheetLayoutView="115" workbookViewId="0">
      <selection activeCell="D24" sqref="D24"/>
    </sheetView>
  </sheetViews>
  <sheetFormatPr defaultRowHeight="12.75" x14ac:dyDescent="0.2"/>
  <cols>
    <col min="1" max="1" width="6.83203125" style="38" customWidth="1"/>
    <col min="2" max="2" width="55.1640625" style="75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7" width="11.83203125" style="38" hidden="1" customWidth="1"/>
    <col min="8" max="16384" width="9.33203125" style="38"/>
  </cols>
  <sheetData>
    <row r="1" spans="1:7" ht="37.5" customHeight="1" thickBot="1" x14ac:dyDescent="0.25">
      <c r="A1" s="1183" t="s">
        <v>564</v>
      </c>
      <c r="B1" s="1183"/>
      <c r="C1" s="1183"/>
      <c r="D1" s="1183"/>
      <c r="E1" s="1183"/>
      <c r="F1" s="1176"/>
    </row>
    <row r="2" spans="1:7" ht="13.5" thickBot="1" x14ac:dyDescent="0.25">
      <c r="A2" s="1181" t="s">
        <v>70</v>
      </c>
      <c r="B2" s="138" t="s">
        <v>57</v>
      </c>
      <c r="C2" s="139"/>
      <c r="D2" s="138" t="s">
        <v>58</v>
      </c>
      <c r="E2" s="140"/>
      <c r="F2" s="1176"/>
    </row>
    <row r="3" spans="1:7" s="141" customFormat="1" ht="24.75" thickBot="1" x14ac:dyDescent="0.25">
      <c r="A3" s="1182"/>
      <c r="B3" s="76" t="s">
        <v>63</v>
      </c>
      <c r="C3" s="32" t="s">
        <v>603</v>
      </c>
      <c r="D3" s="76" t="s">
        <v>63</v>
      </c>
      <c r="E3" s="32" t="s">
        <v>603</v>
      </c>
      <c r="F3" s="1176"/>
    </row>
    <row r="4" spans="1:7" s="141" customFormat="1" ht="13.5" thickBot="1" x14ac:dyDescent="0.25">
      <c r="A4" s="142" t="s">
        <v>443</v>
      </c>
      <c r="B4" s="143" t="s">
        <v>444</v>
      </c>
      <c r="C4" s="144" t="s">
        <v>445</v>
      </c>
      <c r="D4" s="143" t="s">
        <v>495</v>
      </c>
      <c r="E4" s="145" t="s">
        <v>496</v>
      </c>
      <c r="F4" s="1176"/>
    </row>
    <row r="5" spans="1:7" ht="12.95" customHeight="1" x14ac:dyDescent="0.2">
      <c r="A5" s="147" t="s">
        <v>19</v>
      </c>
      <c r="B5" s="148" t="s">
        <v>320</v>
      </c>
      <c r="C5" s="536">
        <f>'1.1.sz.mell. '!C19</f>
        <v>1078270150</v>
      </c>
      <c r="D5" s="163" t="s">
        <v>163</v>
      </c>
      <c r="E5" s="42">
        <f>'1.1.sz.mell. '!C115</f>
        <v>871677031</v>
      </c>
      <c r="F5" s="1176"/>
    </row>
    <row r="6" spans="1:7" ht="12.75" customHeight="1" x14ac:dyDescent="0.2">
      <c r="A6" s="149" t="s">
        <v>20</v>
      </c>
      <c r="B6" s="150" t="s">
        <v>321</v>
      </c>
      <c r="C6" s="536">
        <f>'1.1.sz.mell. '!C25</f>
        <v>694206350</v>
      </c>
      <c r="D6" s="153" t="s">
        <v>326</v>
      </c>
      <c r="E6" s="285">
        <f>'1.1.sz.mell. '!C116</f>
        <v>714714839</v>
      </c>
      <c r="F6" s="1176"/>
    </row>
    <row r="7" spans="1:7" ht="12.95" customHeight="1" x14ac:dyDescent="0.2">
      <c r="A7" s="149" t="s">
        <v>21</v>
      </c>
      <c r="B7" s="150" t="s">
        <v>11</v>
      </c>
      <c r="C7" s="43">
        <f>'1.1.sz.mell. '!C46</f>
        <v>22232600</v>
      </c>
      <c r="D7" s="153" t="s">
        <v>148</v>
      </c>
      <c r="E7" s="44">
        <f>'1.1.sz.mell. '!C117</f>
        <v>502850626</v>
      </c>
      <c r="F7" s="1176"/>
    </row>
    <row r="8" spans="1:7" ht="12.95" customHeight="1" x14ac:dyDescent="0.2">
      <c r="A8" s="149" t="s">
        <v>22</v>
      </c>
      <c r="B8" s="150" t="s">
        <v>322</v>
      </c>
      <c r="C8" s="43"/>
      <c r="D8" s="153" t="s">
        <v>327</v>
      </c>
      <c r="E8" s="265">
        <f>'1.1.sz.mell. '!C118</f>
        <v>149871308</v>
      </c>
      <c r="F8" s="1176"/>
    </row>
    <row r="9" spans="1:7" ht="12.75" customHeight="1" x14ac:dyDescent="0.2">
      <c r="A9" s="149" t="s">
        <v>23</v>
      </c>
      <c r="B9" s="150" t="s">
        <v>323</v>
      </c>
      <c r="C9" s="43"/>
      <c r="D9" s="153" t="s">
        <v>165</v>
      </c>
      <c r="E9" s="44">
        <f>'1.1.sz.mell. '!C119</f>
        <v>27228086</v>
      </c>
      <c r="F9" s="1176"/>
    </row>
    <row r="10" spans="1:7" ht="12.95" customHeight="1" x14ac:dyDescent="0.2">
      <c r="A10" s="149" t="s">
        <v>24</v>
      </c>
      <c r="B10" s="150" t="s">
        <v>324</v>
      </c>
      <c r="C10" s="274"/>
      <c r="D10" s="258"/>
      <c r="E10" s="44"/>
      <c r="F10" s="1176"/>
    </row>
    <row r="11" spans="1:7" ht="12.95" customHeight="1" x14ac:dyDescent="0.2">
      <c r="A11" s="149" t="s">
        <v>25</v>
      </c>
      <c r="B11" s="36"/>
      <c r="C11" s="43"/>
      <c r="D11" s="258"/>
      <c r="E11" s="44"/>
      <c r="F11" s="1176"/>
    </row>
    <row r="12" spans="1:7" ht="12.95" customHeight="1" x14ac:dyDescent="0.2">
      <c r="A12" s="149" t="s">
        <v>26</v>
      </c>
      <c r="B12" s="36"/>
      <c r="C12" s="43"/>
      <c r="D12" s="258"/>
      <c r="E12" s="44"/>
      <c r="F12" s="1176"/>
    </row>
    <row r="13" spans="1:7" ht="12.95" customHeight="1" x14ac:dyDescent="0.2">
      <c r="A13" s="149" t="s">
        <v>27</v>
      </c>
      <c r="B13" s="259"/>
      <c r="C13" s="274"/>
      <c r="D13" s="258"/>
      <c r="E13" s="44"/>
      <c r="F13" s="1176"/>
    </row>
    <row r="14" spans="1:7" x14ac:dyDescent="0.2">
      <c r="A14" s="149" t="s">
        <v>28</v>
      </c>
      <c r="B14" s="36"/>
      <c r="C14" s="274"/>
      <c r="D14" s="258"/>
      <c r="E14" s="44"/>
      <c r="F14" s="1176"/>
    </row>
    <row r="15" spans="1:7" ht="12.95" customHeight="1" thickBot="1" x14ac:dyDescent="0.25">
      <c r="A15" s="188" t="s">
        <v>29</v>
      </c>
      <c r="B15" s="213"/>
      <c r="C15" s="303"/>
      <c r="D15" s="152" t="s">
        <v>50</v>
      </c>
      <c r="E15" s="137">
        <v>57477460</v>
      </c>
      <c r="F15" s="1176"/>
    </row>
    <row r="16" spans="1:7" ht="15.95" customHeight="1" thickBot="1" x14ac:dyDescent="0.25">
      <c r="A16" s="151" t="s">
        <v>30</v>
      </c>
      <c r="B16" s="68" t="s">
        <v>334</v>
      </c>
      <c r="C16" s="132">
        <f>+C5+C7+C8+C10+C11+C12+C13+C14+C15</f>
        <v>1100502750</v>
      </c>
      <c r="D16" s="68" t="s">
        <v>335</v>
      </c>
      <c r="E16" s="136">
        <f>+E5+E7+E9+E10+E11+E12+E13+E14+E15</f>
        <v>1459233203</v>
      </c>
      <c r="F16" s="1176"/>
      <c r="G16" s="38">
        <f>C16-E16</f>
        <v>-358730453</v>
      </c>
    </row>
    <row r="17" spans="1:7" ht="12.95" customHeight="1" x14ac:dyDescent="0.2">
      <c r="A17" s="147" t="s">
        <v>31</v>
      </c>
      <c r="B17" s="159" t="s">
        <v>183</v>
      </c>
      <c r="C17" s="166">
        <f>+C18+C19+C20+C21+C22</f>
        <v>0</v>
      </c>
      <c r="D17" s="153" t="s">
        <v>152</v>
      </c>
      <c r="E17" s="42"/>
      <c r="F17" s="1176"/>
    </row>
    <row r="18" spans="1:7" ht="12.95" customHeight="1" x14ac:dyDescent="0.2">
      <c r="A18" s="149" t="s">
        <v>32</v>
      </c>
      <c r="B18" s="160" t="s">
        <v>172</v>
      </c>
      <c r="C18" s="43"/>
      <c r="D18" s="153" t="s">
        <v>155</v>
      </c>
      <c r="E18" s="44">
        <f>SUM(E19:E20)</f>
        <v>16952500</v>
      </c>
      <c r="F18" s="1176"/>
    </row>
    <row r="19" spans="1:7" ht="12.95" customHeight="1" x14ac:dyDescent="0.2">
      <c r="A19" s="147" t="s">
        <v>33</v>
      </c>
      <c r="B19" s="160" t="s">
        <v>173</v>
      </c>
      <c r="C19" s="43"/>
      <c r="D19" s="684" t="s">
        <v>127</v>
      </c>
      <c r="E19" s="44"/>
      <c r="F19" s="1176"/>
    </row>
    <row r="20" spans="1:7" ht="12.95" customHeight="1" x14ac:dyDescent="0.2">
      <c r="A20" s="149" t="s">
        <v>34</v>
      </c>
      <c r="B20" s="160" t="s">
        <v>174</v>
      </c>
      <c r="C20" s="43"/>
      <c r="D20" s="684" t="s">
        <v>128</v>
      </c>
      <c r="E20" s="44">
        <f>'1.1.sz.mell. '!C130</f>
        <v>16952500</v>
      </c>
      <c r="F20" s="1176"/>
    </row>
    <row r="21" spans="1:7" ht="12.95" customHeight="1" x14ac:dyDescent="0.2">
      <c r="A21" s="147" t="s">
        <v>35</v>
      </c>
      <c r="B21" s="160" t="s">
        <v>175</v>
      </c>
      <c r="C21" s="43"/>
      <c r="D21" s="152" t="s">
        <v>169</v>
      </c>
      <c r="E21" s="44"/>
      <c r="F21" s="1176"/>
    </row>
    <row r="22" spans="1:7" ht="12.95" customHeight="1" x14ac:dyDescent="0.2">
      <c r="A22" s="149" t="s">
        <v>36</v>
      </c>
      <c r="B22" s="161" t="s">
        <v>176</v>
      </c>
      <c r="C22" s="43"/>
      <c r="D22" s="153" t="s">
        <v>156</v>
      </c>
      <c r="E22" s="44"/>
      <c r="F22" s="1176"/>
    </row>
    <row r="23" spans="1:7" ht="12.95" customHeight="1" x14ac:dyDescent="0.2">
      <c r="A23" s="147" t="s">
        <v>37</v>
      </c>
      <c r="B23" s="162" t="s">
        <v>177</v>
      </c>
      <c r="C23" s="444">
        <f>+C24+C25+C26+C27+C28</f>
        <v>69269106</v>
      </c>
      <c r="D23" s="163" t="s">
        <v>154</v>
      </c>
      <c r="E23" s="44"/>
      <c r="F23" s="1176"/>
    </row>
    <row r="24" spans="1:7" ht="12.95" customHeight="1" x14ac:dyDescent="0.2">
      <c r="A24" s="149" t="s">
        <v>38</v>
      </c>
      <c r="B24" s="161" t="s">
        <v>178</v>
      </c>
      <c r="C24" s="43">
        <f>'1.1.sz.mell. '!C64</f>
        <v>69269106</v>
      </c>
      <c r="D24" s="163" t="s">
        <v>328</v>
      </c>
      <c r="E24" s="44"/>
      <c r="F24" s="1176"/>
    </row>
    <row r="25" spans="1:7" ht="12.95" customHeight="1" x14ac:dyDescent="0.2">
      <c r="A25" s="147" t="s">
        <v>39</v>
      </c>
      <c r="B25" s="161" t="s">
        <v>179</v>
      </c>
      <c r="C25" s="43"/>
      <c r="D25" s="158"/>
      <c r="E25" s="44"/>
      <c r="F25" s="1176"/>
    </row>
    <row r="26" spans="1:7" ht="12.95" customHeight="1" x14ac:dyDescent="0.2">
      <c r="A26" s="149" t="s">
        <v>40</v>
      </c>
      <c r="B26" s="160" t="s">
        <v>180</v>
      </c>
      <c r="C26" s="43"/>
      <c r="D26" s="158"/>
      <c r="E26" s="44"/>
      <c r="F26" s="1176"/>
    </row>
    <row r="27" spans="1:7" ht="12.95" customHeight="1" x14ac:dyDescent="0.2">
      <c r="A27" s="147" t="s">
        <v>41</v>
      </c>
      <c r="B27" s="164" t="s">
        <v>181</v>
      </c>
      <c r="C27" s="43"/>
      <c r="D27" s="302"/>
      <c r="E27" s="44"/>
      <c r="F27" s="1176"/>
    </row>
    <row r="28" spans="1:7" ht="12.95" customHeight="1" thickBot="1" x14ac:dyDescent="0.25">
      <c r="A28" s="149" t="s">
        <v>42</v>
      </c>
      <c r="B28" s="165" t="s">
        <v>182</v>
      </c>
      <c r="C28" s="43"/>
      <c r="D28" s="158"/>
      <c r="E28" s="44"/>
      <c r="F28" s="1176"/>
    </row>
    <row r="29" spans="1:7" ht="21.75" customHeight="1" thickBot="1" x14ac:dyDescent="0.25">
      <c r="A29" s="151" t="s">
        <v>43</v>
      </c>
      <c r="B29" s="68" t="s">
        <v>325</v>
      </c>
      <c r="C29" s="132">
        <f>+C17+C23</f>
        <v>69269106</v>
      </c>
      <c r="D29" s="68" t="s">
        <v>329</v>
      </c>
      <c r="E29" s="136">
        <f>SUM(E17:E28)-E19-E20</f>
        <v>16952500</v>
      </c>
      <c r="F29" s="1176"/>
      <c r="G29" s="38">
        <f>C29-E29</f>
        <v>52316606</v>
      </c>
    </row>
    <row r="30" spans="1:7" ht="13.5" thickBot="1" x14ac:dyDescent="0.25">
      <c r="A30" s="151" t="s">
        <v>44</v>
      </c>
      <c r="B30" s="155" t="s">
        <v>330</v>
      </c>
      <c r="C30" s="156">
        <f>+C16+C29</f>
        <v>1169771856</v>
      </c>
      <c r="D30" s="155" t="s">
        <v>331</v>
      </c>
      <c r="E30" s="156">
        <f>+E16+E29</f>
        <v>1476185703</v>
      </c>
      <c r="F30" s="1176"/>
    </row>
    <row r="31" spans="1:7" ht="13.5" thickBot="1" x14ac:dyDescent="0.25">
      <c r="A31" s="151" t="s">
        <v>45</v>
      </c>
      <c r="B31" s="155" t="s">
        <v>130</v>
      </c>
      <c r="C31" s="156">
        <f>IF(C16-E16&lt;0,E16-C16,"-")</f>
        <v>358730453</v>
      </c>
      <c r="D31" s="155" t="s">
        <v>131</v>
      </c>
      <c r="E31" s="156" t="str">
        <f>IF(C16-E16&gt;0,C16-E16,"-")</f>
        <v>-</v>
      </c>
      <c r="F31" s="1176"/>
    </row>
    <row r="32" spans="1:7" ht="13.5" thickBot="1" x14ac:dyDescent="0.25">
      <c r="A32" s="151" t="s">
        <v>46</v>
      </c>
      <c r="B32" s="155" t="s">
        <v>170</v>
      </c>
      <c r="C32" s="156">
        <f>IF(C30-E30&lt;0,E30-C30,"-")</f>
        <v>306413847</v>
      </c>
      <c r="D32" s="155" t="s">
        <v>171</v>
      </c>
      <c r="E32" s="156" t="str">
        <f>IF(C30-E30&gt;0,C30-E30,"-")</f>
        <v>-</v>
      </c>
      <c r="F32" s="1176"/>
    </row>
    <row r="33" spans="3:5" x14ac:dyDescent="0.2">
      <c r="C33" s="389"/>
      <c r="D33" s="389"/>
      <c r="E33" s="389"/>
    </row>
    <row r="34" spans="3:5" x14ac:dyDescent="0.2">
      <c r="C34" s="389"/>
      <c r="D34" s="389"/>
      <c r="E34" s="389"/>
    </row>
    <row r="35" spans="3:5" x14ac:dyDescent="0.2">
      <c r="C35" s="389"/>
      <c r="D35" s="389"/>
      <c r="E35" s="389"/>
    </row>
    <row r="36" spans="3:5" x14ac:dyDescent="0.2">
      <c r="C36" s="389"/>
      <c r="D36" s="389"/>
      <c r="E36" s="389"/>
    </row>
    <row r="37" spans="3:5" x14ac:dyDescent="0.2">
      <c r="C37" s="389"/>
      <c r="D37" s="389"/>
      <c r="E37" s="389"/>
    </row>
    <row r="38" spans="3:5" x14ac:dyDescent="0.2">
      <c r="C38" s="389"/>
      <c r="D38" s="389"/>
      <c r="E38" s="389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4/2020.(II.28.)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view="pageLayout" zoomScale="115" zoomScaleNormal="100" zoomScalePageLayoutView="115" workbookViewId="0">
      <selection activeCell="B22" sqref="B22"/>
    </sheetView>
  </sheetViews>
  <sheetFormatPr defaultRowHeight="12.75" x14ac:dyDescent="0.2"/>
  <cols>
    <col min="1" max="1" width="61.33203125" style="870" customWidth="1"/>
    <col min="2" max="2" width="15.6640625" style="785" customWidth="1"/>
    <col min="3" max="3" width="16.33203125" style="785" customWidth="1"/>
    <col min="4" max="4" width="18" style="785" customWidth="1"/>
    <col min="5" max="5" width="16.6640625" style="785" customWidth="1"/>
    <col min="6" max="6" width="18.83203125" style="776" customWidth="1"/>
    <col min="7" max="8" width="12.83203125" style="33" customWidth="1"/>
    <col min="9" max="9" width="13.83203125" style="33" customWidth="1"/>
    <col min="10" max="256" width="9.33203125" style="33"/>
    <col min="257" max="257" width="61.33203125" style="33" customWidth="1"/>
    <col min="258" max="258" width="15.6640625" style="33" customWidth="1"/>
    <col min="259" max="259" width="16.33203125" style="33" customWidth="1"/>
    <col min="260" max="260" width="18" style="33" customWidth="1"/>
    <col min="261" max="261" width="16.6640625" style="33" customWidth="1"/>
    <col min="262" max="262" width="18.83203125" style="33" customWidth="1"/>
    <col min="263" max="264" width="12.83203125" style="33" customWidth="1"/>
    <col min="265" max="265" width="13.83203125" style="33" customWidth="1"/>
    <col min="266" max="512" width="9.33203125" style="33"/>
    <col min="513" max="513" width="61.33203125" style="33" customWidth="1"/>
    <col min="514" max="514" width="15.6640625" style="33" customWidth="1"/>
    <col min="515" max="515" width="16.33203125" style="33" customWidth="1"/>
    <col min="516" max="516" width="18" style="33" customWidth="1"/>
    <col min="517" max="517" width="16.6640625" style="33" customWidth="1"/>
    <col min="518" max="518" width="18.83203125" style="33" customWidth="1"/>
    <col min="519" max="520" width="12.83203125" style="33" customWidth="1"/>
    <col min="521" max="521" width="13.83203125" style="33" customWidth="1"/>
    <col min="522" max="768" width="9.33203125" style="33"/>
    <col min="769" max="769" width="61.33203125" style="33" customWidth="1"/>
    <col min="770" max="770" width="15.6640625" style="33" customWidth="1"/>
    <col min="771" max="771" width="16.33203125" style="33" customWidth="1"/>
    <col min="772" max="772" width="18" style="33" customWidth="1"/>
    <col min="773" max="773" width="16.6640625" style="33" customWidth="1"/>
    <col min="774" max="774" width="18.83203125" style="33" customWidth="1"/>
    <col min="775" max="776" width="12.83203125" style="33" customWidth="1"/>
    <col min="777" max="777" width="13.83203125" style="33" customWidth="1"/>
    <col min="778" max="1024" width="9.33203125" style="33"/>
    <col min="1025" max="1025" width="61.33203125" style="33" customWidth="1"/>
    <col min="1026" max="1026" width="15.6640625" style="33" customWidth="1"/>
    <col min="1027" max="1027" width="16.33203125" style="33" customWidth="1"/>
    <col min="1028" max="1028" width="18" style="33" customWidth="1"/>
    <col min="1029" max="1029" width="16.6640625" style="33" customWidth="1"/>
    <col min="1030" max="1030" width="18.83203125" style="33" customWidth="1"/>
    <col min="1031" max="1032" width="12.83203125" style="33" customWidth="1"/>
    <col min="1033" max="1033" width="13.83203125" style="33" customWidth="1"/>
    <col min="1034" max="1280" width="9.33203125" style="33"/>
    <col min="1281" max="1281" width="61.33203125" style="33" customWidth="1"/>
    <col min="1282" max="1282" width="15.6640625" style="33" customWidth="1"/>
    <col min="1283" max="1283" width="16.33203125" style="33" customWidth="1"/>
    <col min="1284" max="1284" width="18" style="33" customWidth="1"/>
    <col min="1285" max="1285" width="16.6640625" style="33" customWidth="1"/>
    <col min="1286" max="1286" width="18.83203125" style="33" customWidth="1"/>
    <col min="1287" max="1288" width="12.83203125" style="33" customWidth="1"/>
    <col min="1289" max="1289" width="13.83203125" style="33" customWidth="1"/>
    <col min="1290" max="1536" width="9.33203125" style="33"/>
    <col min="1537" max="1537" width="61.33203125" style="33" customWidth="1"/>
    <col min="1538" max="1538" width="15.6640625" style="33" customWidth="1"/>
    <col min="1539" max="1539" width="16.33203125" style="33" customWidth="1"/>
    <col min="1540" max="1540" width="18" style="33" customWidth="1"/>
    <col min="1541" max="1541" width="16.6640625" style="33" customWidth="1"/>
    <col min="1542" max="1542" width="18.83203125" style="33" customWidth="1"/>
    <col min="1543" max="1544" width="12.83203125" style="33" customWidth="1"/>
    <col min="1545" max="1545" width="13.83203125" style="33" customWidth="1"/>
    <col min="1546" max="1792" width="9.33203125" style="33"/>
    <col min="1793" max="1793" width="61.33203125" style="33" customWidth="1"/>
    <col min="1794" max="1794" width="15.6640625" style="33" customWidth="1"/>
    <col min="1795" max="1795" width="16.33203125" style="33" customWidth="1"/>
    <col min="1796" max="1796" width="18" style="33" customWidth="1"/>
    <col min="1797" max="1797" width="16.6640625" style="33" customWidth="1"/>
    <col min="1798" max="1798" width="18.83203125" style="33" customWidth="1"/>
    <col min="1799" max="1800" width="12.83203125" style="33" customWidth="1"/>
    <col min="1801" max="1801" width="13.83203125" style="33" customWidth="1"/>
    <col min="1802" max="2048" width="9.33203125" style="33"/>
    <col min="2049" max="2049" width="61.33203125" style="33" customWidth="1"/>
    <col min="2050" max="2050" width="15.6640625" style="33" customWidth="1"/>
    <col min="2051" max="2051" width="16.33203125" style="33" customWidth="1"/>
    <col min="2052" max="2052" width="18" style="33" customWidth="1"/>
    <col min="2053" max="2053" width="16.6640625" style="33" customWidth="1"/>
    <col min="2054" max="2054" width="18.83203125" style="33" customWidth="1"/>
    <col min="2055" max="2056" width="12.83203125" style="33" customWidth="1"/>
    <col min="2057" max="2057" width="13.83203125" style="33" customWidth="1"/>
    <col min="2058" max="2304" width="9.33203125" style="33"/>
    <col min="2305" max="2305" width="61.33203125" style="33" customWidth="1"/>
    <col min="2306" max="2306" width="15.6640625" style="33" customWidth="1"/>
    <col min="2307" max="2307" width="16.33203125" style="33" customWidth="1"/>
    <col min="2308" max="2308" width="18" style="33" customWidth="1"/>
    <col min="2309" max="2309" width="16.6640625" style="33" customWidth="1"/>
    <col min="2310" max="2310" width="18.83203125" style="33" customWidth="1"/>
    <col min="2311" max="2312" width="12.83203125" style="33" customWidth="1"/>
    <col min="2313" max="2313" width="13.83203125" style="33" customWidth="1"/>
    <col min="2314" max="2560" width="9.33203125" style="33"/>
    <col min="2561" max="2561" width="61.33203125" style="33" customWidth="1"/>
    <col min="2562" max="2562" width="15.6640625" style="33" customWidth="1"/>
    <col min="2563" max="2563" width="16.33203125" style="33" customWidth="1"/>
    <col min="2564" max="2564" width="18" style="33" customWidth="1"/>
    <col min="2565" max="2565" width="16.6640625" style="33" customWidth="1"/>
    <col min="2566" max="2566" width="18.83203125" style="33" customWidth="1"/>
    <col min="2567" max="2568" width="12.83203125" style="33" customWidth="1"/>
    <col min="2569" max="2569" width="13.83203125" style="33" customWidth="1"/>
    <col min="2570" max="2816" width="9.33203125" style="33"/>
    <col min="2817" max="2817" width="61.33203125" style="33" customWidth="1"/>
    <col min="2818" max="2818" width="15.6640625" style="33" customWidth="1"/>
    <col min="2819" max="2819" width="16.33203125" style="33" customWidth="1"/>
    <col min="2820" max="2820" width="18" style="33" customWidth="1"/>
    <col min="2821" max="2821" width="16.6640625" style="33" customWidth="1"/>
    <col min="2822" max="2822" width="18.83203125" style="33" customWidth="1"/>
    <col min="2823" max="2824" width="12.83203125" style="33" customWidth="1"/>
    <col min="2825" max="2825" width="13.83203125" style="33" customWidth="1"/>
    <col min="2826" max="3072" width="9.33203125" style="33"/>
    <col min="3073" max="3073" width="61.33203125" style="33" customWidth="1"/>
    <col min="3074" max="3074" width="15.6640625" style="33" customWidth="1"/>
    <col min="3075" max="3075" width="16.33203125" style="33" customWidth="1"/>
    <col min="3076" max="3076" width="18" style="33" customWidth="1"/>
    <col min="3077" max="3077" width="16.6640625" style="33" customWidth="1"/>
    <col min="3078" max="3078" width="18.83203125" style="33" customWidth="1"/>
    <col min="3079" max="3080" width="12.83203125" style="33" customWidth="1"/>
    <col min="3081" max="3081" width="13.83203125" style="33" customWidth="1"/>
    <col min="3082" max="3328" width="9.33203125" style="33"/>
    <col min="3329" max="3329" width="61.33203125" style="33" customWidth="1"/>
    <col min="3330" max="3330" width="15.6640625" style="33" customWidth="1"/>
    <col min="3331" max="3331" width="16.33203125" style="33" customWidth="1"/>
    <col min="3332" max="3332" width="18" style="33" customWidth="1"/>
    <col min="3333" max="3333" width="16.6640625" style="33" customWidth="1"/>
    <col min="3334" max="3334" width="18.83203125" style="33" customWidth="1"/>
    <col min="3335" max="3336" width="12.83203125" style="33" customWidth="1"/>
    <col min="3337" max="3337" width="13.83203125" style="33" customWidth="1"/>
    <col min="3338" max="3584" width="9.33203125" style="33"/>
    <col min="3585" max="3585" width="61.33203125" style="33" customWidth="1"/>
    <col min="3586" max="3586" width="15.6640625" style="33" customWidth="1"/>
    <col min="3587" max="3587" width="16.33203125" style="33" customWidth="1"/>
    <col min="3588" max="3588" width="18" style="33" customWidth="1"/>
    <col min="3589" max="3589" width="16.6640625" style="33" customWidth="1"/>
    <col min="3590" max="3590" width="18.83203125" style="33" customWidth="1"/>
    <col min="3591" max="3592" width="12.83203125" style="33" customWidth="1"/>
    <col min="3593" max="3593" width="13.83203125" style="33" customWidth="1"/>
    <col min="3594" max="3840" width="9.33203125" style="33"/>
    <col min="3841" max="3841" width="61.33203125" style="33" customWidth="1"/>
    <col min="3842" max="3842" width="15.6640625" style="33" customWidth="1"/>
    <col min="3843" max="3843" width="16.33203125" style="33" customWidth="1"/>
    <col min="3844" max="3844" width="18" style="33" customWidth="1"/>
    <col min="3845" max="3845" width="16.6640625" style="33" customWidth="1"/>
    <col min="3846" max="3846" width="18.83203125" style="33" customWidth="1"/>
    <col min="3847" max="3848" width="12.83203125" style="33" customWidth="1"/>
    <col min="3849" max="3849" width="13.83203125" style="33" customWidth="1"/>
    <col min="3850" max="4096" width="9.33203125" style="33"/>
    <col min="4097" max="4097" width="61.33203125" style="33" customWidth="1"/>
    <col min="4098" max="4098" width="15.6640625" style="33" customWidth="1"/>
    <col min="4099" max="4099" width="16.33203125" style="33" customWidth="1"/>
    <col min="4100" max="4100" width="18" style="33" customWidth="1"/>
    <col min="4101" max="4101" width="16.6640625" style="33" customWidth="1"/>
    <col min="4102" max="4102" width="18.83203125" style="33" customWidth="1"/>
    <col min="4103" max="4104" width="12.83203125" style="33" customWidth="1"/>
    <col min="4105" max="4105" width="13.83203125" style="33" customWidth="1"/>
    <col min="4106" max="4352" width="9.33203125" style="33"/>
    <col min="4353" max="4353" width="61.33203125" style="33" customWidth="1"/>
    <col min="4354" max="4354" width="15.6640625" style="33" customWidth="1"/>
    <col min="4355" max="4355" width="16.33203125" style="33" customWidth="1"/>
    <col min="4356" max="4356" width="18" style="33" customWidth="1"/>
    <col min="4357" max="4357" width="16.6640625" style="33" customWidth="1"/>
    <col min="4358" max="4358" width="18.83203125" style="33" customWidth="1"/>
    <col min="4359" max="4360" width="12.83203125" style="33" customWidth="1"/>
    <col min="4361" max="4361" width="13.83203125" style="33" customWidth="1"/>
    <col min="4362" max="4608" width="9.33203125" style="33"/>
    <col min="4609" max="4609" width="61.33203125" style="33" customWidth="1"/>
    <col min="4610" max="4610" width="15.6640625" style="33" customWidth="1"/>
    <col min="4611" max="4611" width="16.33203125" style="33" customWidth="1"/>
    <col min="4612" max="4612" width="18" style="33" customWidth="1"/>
    <col min="4613" max="4613" width="16.6640625" style="33" customWidth="1"/>
    <col min="4614" max="4614" width="18.83203125" style="33" customWidth="1"/>
    <col min="4615" max="4616" width="12.83203125" style="33" customWidth="1"/>
    <col min="4617" max="4617" width="13.83203125" style="33" customWidth="1"/>
    <col min="4618" max="4864" width="9.33203125" style="33"/>
    <col min="4865" max="4865" width="61.33203125" style="33" customWidth="1"/>
    <col min="4866" max="4866" width="15.6640625" style="33" customWidth="1"/>
    <col min="4867" max="4867" width="16.33203125" style="33" customWidth="1"/>
    <col min="4868" max="4868" width="18" style="33" customWidth="1"/>
    <col min="4869" max="4869" width="16.6640625" style="33" customWidth="1"/>
    <col min="4870" max="4870" width="18.83203125" style="33" customWidth="1"/>
    <col min="4871" max="4872" width="12.83203125" style="33" customWidth="1"/>
    <col min="4873" max="4873" width="13.83203125" style="33" customWidth="1"/>
    <col min="4874" max="5120" width="9.33203125" style="33"/>
    <col min="5121" max="5121" width="61.33203125" style="33" customWidth="1"/>
    <col min="5122" max="5122" width="15.6640625" style="33" customWidth="1"/>
    <col min="5123" max="5123" width="16.33203125" style="33" customWidth="1"/>
    <col min="5124" max="5124" width="18" style="33" customWidth="1"/>
    <col min="5125" max="5125" width="16.6640625" style="33" customWidth="1"/>
    <col min="5126" max="5126" width="18.83203125" style="33" customWidth="1"/>
    <col min="5127" max="5128" width="12.83203125" style="33" customWidth="1"/>
    <col min="5129" max="5129" width="13.83203125" style="33" customWidth="1"/>
    <col min="5130" max="5376" width="9.33203125" style="33"/>
    <col min="5377" max="5377" width="61.33203125" style="33" customWidth="1"/>
    <col min="5378" max="5378" width="15.6640625" style="33" customWidth="1"/>
    <col min="5379" max="5379" width="16.33203125" style="33" customWidth="1"/>
    <col min="5380" max="5380" width="18" style="33" customWidth="1"/>
    <col min="5381" max="5381" width="16.6640625" style="33" customWidth="1"/>
    <col min="5382" max="5382" width="18.83203125" style="33" customWidth="1"/>
    <col min="5383" max="5384" width="12.83203125" style="33" customWidth="1"/>
    <col min="5385" max="5385" width="13.83203125" style="33" customWidth="1"/>
    <col min="5386" max="5632" width="9.33203125" style="33"/>
    <col min="5633" max="5633" width="61.33203125" style="33" customWidth="1"/>
    <col min="5634" max="5634" width="15.6640625" style="33" customWidth="1"/>
    <col min="5635" max="5635" width="16.33203125" style="33" customWidth="1"/>
    <col min="5636" max="5636" width="18" style="33" customWidth="1"/>
    <col min="5637" max="5637" width="16.6640625" style="33" customWidth="1"/>
    <col min="5638" max="5638" width="18.83203125" style="33" customWidth="1"/>
    <col min="5639" max="5640" width="12.83203125" style="33" customWidth="1"/>
    <col min="5641" max="5641" width="13.83203125" style="33" customWidth="1"/>
    <col min="5642" max="5888" width="9.33203125" style="33"/>
    <col min="5889" max="5889" width="61.33203125" style="33" customWidth="1"/>
    <col min="5890" max="5890" width="15.6640625" style="33" customWidth="1"/>
    <col min="5891" max="5891" width="16.33203125" style="33" customWidth="1"/>
    <col min="5892" max="5892" width="18" style="33" customWidth="1"/>
    <col min="5893" max="5893" width="16.6640625" style="33" customWidth="1"/>
    <col min="5894" max="5894" width="18.83203125" style="33" customWidth="1"/>
    <col min="5895" max="5896" width="12.83203125" style="33" customWidth="1"/>
    <col min="5897" max="5897" width="13.83203125" style="33" customWidth="1"/>
    <col min="5898" max="6144" width="9.33203125" style="33"/>
    <col min="6145" max="6145" width="61.33203125" style="33" customWidth="1"/>
    <col min="6146" max="6146" width="15.6640625" style="33" customWidth="1"/>
    <col min="6147" max="6147" width="16.33203125" style="33" customWidth="1"/>
    <col min="6148" max="6148" width="18" style="33" customWidth="1"/>
    <col min="6149" max="6149" width="16.6640625" style="33" customWidth="1"/>
    <col min="6150" max="6150" width="18.83203125" style="33" customWidth="1"/>
    <col min="6151" max="6152" width="12.83203125" style="33" customWidth="1"/>
    <col min="6153" max="6153" width="13.83203125" style="33" customWidth="1"/>
    <col min="6154" max="6400" width="9.33203125" style="33"/>
    <col min="6401" max="6401" width="61.33203125" style="33" customWidth="1"/>
    <col min="6402" max="6402" width="15.6640625" style="33" customWidth="1"/>
    <col min="6403" max="6403" width="16.33203125" style="33" customWidth="1"/>
    <col min="6404" max="6404" width="18" style="33" customWidth="1"/>
    <col min="6405" max="6405" width="16.6640625" style="33" customWidth="1"/>
    <col min="6406" max="6406" width="18.83203125" style="33" customWidth="1"/>
    <col min="6407" max="6408" width="12.83203125" style="33" customWidth="1"/>
    <col min="6409" max="6409" width="13.83203125" style="33" customWidth="1"/>
    <col min="6410" max="6656" width="9.33203125" style="33"/>
    <col min="6657" max="6657" width="61.33203125" style="33" customWidth="1"/>
    <col min="6658" max="6658" width="15.6640625" style="33" customWidth="1"/>
    <col min="6659" max="6659" width="16.33203125" style="33" customWidth="1"/>
    <col min="6660" max="6660" width="18" style="33" customWidth="1"/>
    <col min="6661" max="6661" width="16.6640625" style="33" customWidth="1"/>
    <col min="6662" max="6662" width="18.83203125" style="33" customWidth="1"/>
    <col min="6663" max="6664" width="12.83203125" style="33" customWidth="1"/>
    <col min="6665" max="6665" width="13.83203125" style="33" customWidth="1"/>
    <col min="6666" max="6912" width="9.33203125" style="33"/>
    <col min="6913" max="6913" width="61.33203125" style="33" customWidth="1"/>
    <col min="6914" max="6914" width="15.6640625" style="33" customWidth="1"/>
    <col min="6915" max="6915" width="16.33203125" style="33" customWidth="1"/>
    <col min="6916" max="6916" width="18" style="33" customWidth="1"/>
    <col min="6917" max="6917" width="16.6640625" style="33" customWidth="1"/>
    <col min="6918" max="6918" width="18.83203125" style="33" customWidth="1"/>
    <col min="6919" max="6920" width="12.83203125" style="33" customWidth="1"/>
    <col min="6921" max="6921" width="13.83203125" style="33" customWidth="1"/>
    <col min="6922" max="7168" width="9.33203125" style="33"/>
    <col min="7169" max="7169" width="61.33203125" style="33" customWidth="1"/>
    <col min="7170" max="7170" width="15.6640625" style="33" customWidth="1"/>
    <col min="7171" max="7171" width="16.33203125" style="33" customWidth="1"/>
    <col min="7172" max="7172" width="18" style="33" customWidth="1"/>
    <col min="7173" max="7173" width="16.6640625" style="33" customWidth="1"/>
    <col min="7174" max="7174" width="18.83203125" style="33" customWidth="1"/>
    <col min="7175" max="7176" width="12.83203125" style="33" customWidth="1"/>
    <col min="7177" max="7177" width="13.83203125" style="33" customWidth="1"/>
    <col min="7178" max="7424" width="9.33203125" style="33"/>
    <col min="7425" max="7425" width="61.33203125" style="33" customWidth="1"/>
    <col min="7426" max="7426" width="15.6640625" style="33" customWidth="1"/>
    <col min="7427" max="7427" width="16.33203125" style="33" customWidth="1"/>
    <col min="7428" max="7428" width="18" style="33" customWidth="1"/>
    <col min="7429" max="7429" width="16.6640625" style="33" customWidth="1"/>
    <col min="7430" max="7430" width="18.83203125" style="33" customWidth="1"/>
    <col min="7431" max="7432" width="12.83203125" style="33" customWidth="1"/>
    <col min="7433" max="7433" width="13.83203125" style="33" customWidth="1"/>
    <col min="7434" max="7680" width="9.33203125" style="33"/>
    <col min="7681" max="7681" width="61.33203125" style="33" customWidth="1"/>
    <col min="7682" max="7682" width="15.6640625" style="33" customWidth="1"/>
    <col min="7683" max="7683" width="16.33203125" style="33" customWidth="1"/>
    <col min="7684" max="7684" width="18" style="33" customWidth="1"/>
    <col min="7685" max="7685" width="16.6640625" style="33" customWidth="1"/>
    <col min="7686" max="7686" width="18.83203125" style="33" customWidth="1"/>
    <col min="7687" max="7688" width="12.83203125" style="33" customWidth="1"/>
    <col min="7689" max="7689" width="13.83203125" style="33" customWidth="1"/>
    <col min="7690" max="7936" width="9.33203125" style="33"/>
    <col min="7937" max="7937" width="61.33203125" style="33" customWidth="1"/>
    <col min="7938" max="7938" width="15.6640625" style="33" customWidth="1"/>
    <col min="7939" max="7939" width="16.33203125" style="33" customWidth="1"/>
    <col min="7940" max="7940" width="18" style="33" customWidth="1"/>
    <col min="7941" max="7941" width="16.6640625" style="33" customWidth="1"/>
    <col min="7942" max="7942" width="18.83203125" style="33" customWidth="1"/>
    <col min="7943" max="7944" width="12.83203125" style="33" customWidth="1"/>
    <col min="7945" max="7945" width="13.83203125" style="33" customWidth="1"/>
    <col min="7946" max="8192" width="9.33203125" style="33"/>
    <col min="8193" max="8193" width="61.33203125" style="33" customWidth="1"/>
    <col min="8194" max="8194" width="15.6640625" style="33" customWidth="1"/>
    <col min="8195" max="8195" width="16.33203125" style="33" customWidth="1"/>
    <col min="8196" max="8196" width="18" style="33" customWidth="1"/>
    <col min="8197" max="8197" width="16.6640625" style="33" customWidth="1"/>
    <col min="8198" max="8198" width="18.83203125" style="33" customWidth="1"/>
    <col min="8199" max="8200" width="12.83203125" style="33" customWidth="1"/>
    <col min="8201" max="8201" width="13.83203125" style="33" customWidth="1"/>
    <col min="8202" max="8448" width="9.33203125" style="33"/>
    <col min="8449" max="8449" width="61.33203125" style="33" customWidth="1"/>
    <col min="8450" max="8450" width="15.6640625" style="33" customWidth="1"/>
    <col min="8451" max="8451" width="16.33203125" style="33" customWidth="1"/>
    <col min="8452" max="8452" width="18" style="33" customWidth="1"/>
    <col min="8453" max="8453" width="16.6640625" style="33" customWidth="1"/>
    <col min="8454" max="8454" width="18.83203125" style="33" customWidth="1"/>
    <col min="8455" max="8456" width="12.83203125" style="33" customWidth="1"/>
    <col min="8457" max="8457" width="13.83203125" style="33" customWidth="1"/>
    <col min="8458" max="8704" width="9.33203125" style="33"/>
    <col min="8705" max="8705" width="61.33203125" style="33" customWidth="1"/>
    <col min="8706" max="8706" width="15.6640625" style="33" customWidth="1"/>
    <col min="8707" max="8707" width="16.33203125" style="33" customWidth="1"/>
    <col min="8708" max="8708" width="18" style="33" customWidth="1"/>
    <col min="8709" max="8709" width="16.6640625" style="33" customWidth="1"/>
    <col min="8710" max="8710" width="18.83203125" style="33" customWidth="1"/>
    <col min="8711" max="8712" width="12.83203125" style="33" customWidth="1"/>
    <col min="8713" max="8713" width="13.83203125" style="33" customWidth="1"/>
    <col min="8714" max="8960" width="9.33203125" style="33"/>
    <col min="8961" max="8961" width="61.33203125" style="33" customWidth="1"/>
    <col min="8962" max="8962" width="15.6640625" style="33" customWidth="1"/>
    <col min="8963" max="8963" width="16.33203125" style="33" customWidth="1"/>
    <col min="8964" max="8964" width="18" style="33" customWidth="1"/>
    <col min="8965" max="8965" width="16.6640625" style="33" customWidth="1"/>
    <col min="8966" max="8966" width="18.83203125" style="33" customWidth="1"/>
    <col min="8967" max="8968" width="12.83203125" style="33" customWidth="1"/>
    <col min="8969" max="8969" width="13.83203125" style="33" customWidth="1"/>
    <col min="8970" max="9216" width="9.33203125" style="33"/>
    <col min="9217" max="9217" width="61.33203125" style="33" customWidth="1"/>
    <col min="9218" max="9218" width="15.6640625" style="33" customWidth="1"/>
    <col min="9219" max="9219" width="16.33203125" style="33" customWidth="1"/>
    <col min="9220" max="9220" width="18" style="33" customWidth="1"/>
    <col min="9221" max="9221" width="16.6640625" style="33" customWidth="1"/>
    <col min="9222" max="9222" width="18.83203125" style="33" customWidth="1"/>
    <col min="9223" max="9224" width="12.83203125" style="33" customWidth="1"/>
    <col min="9225" max="9225" width="13.83203125" style="33" customWidth="1"/>
    <col min="9226" max="9472" width="9.33203125" style="33"/>
    <col min="9473" max="9473" width="61.33203125" style="33" customWidth="1"/>
    <col min="9474" max="9474" width="15.6640625" style="33" customWidth="1"/>
    <col min="9475" max="9475" width="16.33203125" style="33" customWidth="1"/>
    <col min="9476" max="9476" width="18" style="33" customWidth="1"/>
    <col min="9477" max="9477" width="16.6640625" style="33" customWidth="1"/>
    <col min="9478" max="9478" width="18.83203125" style="33" customWidth="1"/>
    <col min="9479" max="9480" width="12.83203125" style="33" customWidth="1"/>
    <col min="9481" max="9481" width="13.83203125" style="33" customWidth="1"/>
    <col min="9482" max="9728" width="9.33203125" style="33"/>
    <col min="9729" max="9729" width="61.33203125" style="33" customWidth="1"/>
    <col min="9730" max="9730" width="15.6640625" style="33" customWidth="1"/>
    <col min="9731" max="9731" width="16.33203125" style="33" customWidth="1"/>
    <col min="9732" max="9732" width="18" style="33" customWidth="1"/>
    <col min="9733" max="9733" width="16.6640625" style="33" customWidth="1"/>
    <col min="9734" max="9734" width="18.83203125" style="33" customWidth="1"/>
    <col min="9735" max="9736" width="12.83203125" style="33" customWidth="1"/>
    <col min="9737" max="9737" width="13.83203125" style="33" customWidth="1"/>
    <col min="9738" max="9984" width="9.33203125" style="33"/>
    <col min="9985" max="9985" width="61.33203125" style="33" customWidth="1"/>
    <col min="9986" max="9986" width="15.6640625" style="33" customWidth="1"/>
    <col min="9987" max="9987" width="16.33203125" style="33" customWidth="1"/>
    <col min="9988" max="9988" width="18" style="33" customWidth="1"/>
    <col min="9989" max="9989" width="16.6640625" style="33" customWidth="1"/>
    <col min="9990" max="9990" width="18.83203125" style="33" customWidth="1"/>
    <col min="9991" max="9992" width="12.83203125" style="33" customWidth="1"/>
    <col min="9993" max="9993" width="13.83203125" style="33" customWidth="1"/>
    <col min="9994" max="10240" width="9.33203125" style="33"/>
    <col min="10241" max="10241" width="61.33203125" style="33" customWidth="1"/>
    <col min="10242" max="10242" width="15.6640625" style="33" customWidth="1"/>
    <col min="10243" max="10243" width="16.33203125" style="33" customWidth="1"/>
    <col min="10244" max="10244" width="18" style="33" customWidth="1"/>
    <col min="10245" max="10245" width="16.6640625" style="33" customWidth="1"/>
    <col min="10246" max="10246" width="18.83203125" style="33" customWidth="1"/>
    <col min="10247" max="10248" width="12.83203125" style="33" customWidth="1"/>
    <col min="10249" max="10249" width="13.83203125" style="33" customWidth="1"/>
    <col min="10250" max="10496" width="9.33203125" style="33"/>
    <col min="10497" max="10497" width="61.33203125" style="33" customWidth="1"/>
    <col min="10498" max="10498" width="15.6640625" style="33" customWidth="1"/>
    <col min="10499" max="10499" width="16.33203125" style="33" customWidth="1"/>
    <col min="10500" max="10500" width="18" style="33" customWidth="1"/>
    <col min="10501" max="10501" width="16.6640625" style="33" customWidth="1"/>
    <col min="10502" max="10502" width="18.83203125" style="33" customWidth="1"/>
    <col min="10503" max="10504" width="12.83203125" style="33" customWidth="1"/>
    <col min="10505" max="10505" width="13.83203125" style="33" customWidth="1"/>
    <col min="10506" max="10752" width="9.33203125" style="33"/>
    <col min="10753" max="10753" width="61.33203125" style="33" customWidth="1"/>
    <col min="10754" max="10754" width="15.6640625" style="33" customWidth="1"/>
    <col min="10755" max="10755" width="16.33203125" style="33" customWidth="1"/>
    <col min="10756" max="10756" width="18" style="33" customWidth="1"/>
    <col min="10757" max="10757" width="16.6640625" style="33" customWidth="1"/>
    <col min="10758" max="10758" width="18.83203125" style="33" customWidth="1"/>
    <col min="10759" max="10760" width="12.83203125" style="33" customWidth="1"/>
    <col min="10761" max="10761" width="13.83203125" style="33" customWidth="1"/>
    <col min="10762" max="11008" width="9.33203125" style="33"/>
    <col min="11009" max="11009" width="61.33203125" style="33" customWidth="1"/>
    <col min="11010" max="11010" width="15.6640625" style="33" customWidth="1"/>
    <col min="11011" max="11011" width="16.33203125" style="33" customWidth="1"/>
    <col min="11012" max="11012" width="18" style="33" customWidth="1"/>
    <col min="11013" max="11013" width="16.6640625" style="33" customWidth="1"/>
    <col min="11014" max="11014" width="18.83203125" style="33" customWidth="1"/>
    <col min="11015" max="11016" width="12.83203125" style="33" customWidth="1"/>
    <col min="11017" max="11017" width="13.83203125" style="33" customWidth="1"/>
    <col min="11018" max="11264" width="9.33203125" style="33"/>
    <col min="11265" max="11265" width="61.33203125" style="33" customWidth="1"/>
    <col min="11266" max="11266" width="15.6640625" style="33" customWidth="1"/>
    <col min="11267" max="11267" width="16.33203125" style="33" customWidth="1"/>
    <col min="11268" max="11268" width="18" style="33" customWidth="1"/>
    <col min="11269" max="11269" width="16.6640625" style="33" customWidth="1"/>
    <col min="11270" max="11270" width="18.83203125" style="33" customWidth="1"/>
    <col min="11271" max="11272" width="12.83203125" style="33" customWidth="1"/>
    <col min="11273" max="11273" width="13.83203125" style="33" customWidth="1"/>
    <col min="11274" max="11520" width="9.33203125" style="33"/>
    <col min="11521" max="11521" width="61.33203125" style="33" customWidth="1"/>
    <col min="11522" max="11522" width="15.6640625" style="33" customWidth="1"/>
    <col min="11523" max="11523" width="16.33203125" style="33" customWidth="1"/>
    <col min="11524" max="11524" width="18" style="33" customWidth="1"/>
    <col min="11525" max="11525" width="16.6640625" style="33" customWidth="1"/>
    <col min="11526" max="11526" width="18.83203125" style="33" customWidth="1"/>
    <col min="11527" max="11528" width="12.83203125" style="33" customWidth="1"/>
    <col min="11529" max="11529" width="13.83203125" style="33" customWidth="1"/>
    <col min="11530" max="11776" width="9.33203125" style="33"/>
    <col min="11777" max="11777" width="61.33203125" style="33" customWidth="1"/>
    <col min="11778" max="11778" width="15.6640625" style="33" customWidth="1"/>
    <col min="11779" max="11779" width="16.33203125" style="33" customWidth="1"/>
    <col min="11780" max="11780" width="18" style="33" customWidth="1"/>
    <col min="11781" max="11781" width="16.6640625" style="33" customWidth="1"/>
    <col min="11782" max="11782" width="18.83203125" style="33" customWidth="1"/>
    <col min="11783" max="11784" width="12.83203125" style="33" customWidth="1"/>
    <col min="11785" max="11785" width="13.83203125" style="33" customWidth="1"/>
    <col min="11786" max="12032" width="9.33203125" style="33"/>
    <col min="12033" max="12033" width="61.33203125" style="33" customWidth="1"/>
    <col min="12034" max="12034" width="15.6640625" style="33" customWidth="1"/>
    <col min="12035" max="12035" width="16.33203125" style="33" customWidth="1"/>
    <col min="12036" max="12036" width="18" style="33" customWidth="1"/>
    <col min="12037" max="12037" width="16.6640625" style="33" customWidth="1"/>
    <col min="12038" max="12038" width="18.83203125" style="33" customWidth="1"/>
    <col min="12039" max="12040" width="12.83203125" style="33" customWidth="1"/>
    <col min="12041" max="12041" width="13.83203125" style="33" customWidth="1"/>
    <col min="12042" max="12288" width="9.33203125" style="33"/>
    <col min="12289" max="12289" width="61.33203125" style="33" customWidth="1"/>
    <col min="12290" max="12290" width="15.6640625" style="33" customWidth="1"/>
    <col min="12291" max="12291" width="16.33203125" style="33" customWidth="1"/>
    <col min="12292" max="12292" width="18" style="33" customWidth="1"/>
    <col min="12293" max="12293" width="16.6640625" style="33" customWidth="1"/>
    <col min="12294" max="12294" width="18.83203125" style="33" customWidth="1"/>
    <col min="12295" max="12296" width="12.83203125" style="33" customWidth="1"/>
    <col min="12297" max="12297" width="13.83203125" style="33" customWidth="1"/>
    <col min="12298" max="12544" width="9.33203125" style="33"/>
    <col min="12545" max="12545" width="61.33203125" style="33" customWidth="1"/>
    <col min="12546" max="12546" width="15.6640625" style="33" customWidth="1"/>
    <col min="12547" max="12547" width="16.33203125" style="33" customWidth="1"/>
    <col min="12548" max="12548" width="18" style="33" customWidth="1"/>
    <col min="12549" max="12549" width="16.6640625" style="33" customWidth="1"/>
    <col min="12550" max="12550" width="18.83203125" style="33" customWidth="1"/>
    <col min="12551" max="12552" width="12.83203125" style="33" customWidth="1"/>
    <col min="12553" max="12553" width="13.83203125" style="33" customWidth="1"/>
    <col min="12554" max="12800" width="9.33203125" style="33"/>
    <col min="12801" max="12801" width="61.33203125" style="33" customWidth="1"/>
    <col min="12802" max="12802" width="15.6640625" style="33" customWidth="1"/>
    <col min="12803" max="12803" width="16.33203125" style="33" customWidth="1"/>
    <col min="12804" max="12804" width="18" style="33" customWidth="1"/>
    <col min="12805" max="12805" width="16.6640625" style="33" customWidth="1"/>
    <col min="12806" max="12806" width="18.83203125" style="33" customWidth="1"/>
    <col min="12807" max="12808" width="12.83203125" style="33" customWidth="1"/>
    <col min="12809" max="12809" width="13.83203125" style="33" customWidth="1"/>
    <col min="12810" max="13056" width="9.33203125" style="33"/>
    <col min="13057" max="13057" width="61.33203125" style="33" customWidth="1"/>
    <col min="13058" max="13058" width="15.6640625" style="33" customWidth="1"/>
    <col min="13059" max="13059" width="16.33203125" style="33" customWidth="1"/>
    <col min="13060" max="13060" width="18" style="33" customWidth="1"/>
    <col min="13061" max="13061" width="16.6640625" style="33" customWidth="1"/>
    <col min="13062" max="13062" width="18.83203125" style="33" customWidth="1"/>
    <col min="13063" max="13064" width="12.83203125" style="33" customWidth="1"/>
    <col min="13065" max="13065" width="13.83203125" style="33" customWidth="1"/>
    <col min="13066" max="13312" width="9.33203125" style="33"/>
    <col min="13313" max="13313" width="61.33203125" style="33" customWidth="1"/>
    <col min="13314" max="13314" width="15.6640625" style="33" customWidth="1"/>
    <col min="13315" max="13315" width="16.33203125" style="33" customWidth="1"/>
    <col min="13316" max="13316" width="18" style="33" customWidth="1"/>
    <col min="13317" max="13317" width="16.6640625" style="33" customWidth="1"/>
    <col min="13318" max="13318" width="18.83203125" style="33" customWidth="1"/>
    <col min="13319" max="13320" width="12.83203125" style="33" customWidth="1"/>
    <col min="13321" max="13321" width="13.83203125" style="33" customWidth="1"/>
    <col min="13322" max="13568" width="9.33203125" style="33"/>
    <col min="13569" max="13569" width="61.33203125" style="33" customWidth="1"/>
    <col min="13570" max="13570" width="15.6640625" style="33" customWidth="1"/>
    <col min="13571" max="13571" width="16.33203125" style="33" customWidth="1"/>
    <col min="13572" max="13572" width="18" style="33" customWidth="1"/>
    <col min="13573" max="13573" width="16.6640625" style="33" customWidth="1"/>
    <col min="13574" max="13574" width="18.83203125" style="33" customWidth="1"/>
    <col min="13575" max="13576" width="12.83203125" style="33" customWidth="1"/>
    <col min="13577" max="13577" width="13.83203125" style="33" customWidth="1"/>
    <col min="13578" max="13824" width="9.33203125" style="33"/>
    <col min="13825" max="13825" width="61.33203125" style="33" customWidth="1"/>
    <col min="13826" max="13826" width="15.6640625" style="33" customWidth="1"/>
    <col min="13827" max="13827" width="16.33203125" style="33" customWidth="1"/>
    <col min="13828" max="13828" width="18" style="33" customWidth="1"/>
    <col min="13829" max="13829" width="16.6640625" style="33" customWidth="1"/>
    <col min="13830" max="13830" width="18.83203125" style="33" customWidth="1"/>
    <col min="13831" max="13832" width="12.83203125" style="33" customWidth="1"/>
    <col min="13833" max="13833" width="13.83203125" style="33" customWidth="1"/>
    <col min="13834" max="14080" width="9.33203125" style="33"/>
    <col min="14081" max="14081" width="61.33203125" style="33" customWidth="1"/>
    <col min="14082" max="14082" width="15.6640625" style="33" customWidth="1"/>
    <col min="14083" max="14083" width="16.33203125" style="33" customWidth="1"/>
    <col min="14084" max="14084" width="18" style="33" customWidth="1"/>
    <col min="14085" max="14085" width="16.6640625" style="33" customWidth="1"/>
    <col min="14086" max="14086" width="18.83203125" style="33" customWidth="1"/>
    <col min="14087" max="14088" width="12.83203125" style="33" customWidth="1"/>
    <col min="14089" max="14089" width="13.83203125" style="33" customWidth="1"/>
    <col min="14090" max="14336" width="9.33203125" style="33"/>
    <col min="14337" max="14337" width="61.33203125" style="33" customWidth="1"/>
    <col min="14338" max="14338" width="15.6640625" style="33" customWidth="1"/>
    <col min="14339" max="14339" width="16.33203125" style="33" customWidth="1"/>
    <col min="14340" max="14340" width="18" style="33" customWidth="1"/>
    <col min="14341" max="14341" width="16.6640625" style="33" customWidth="1"/>
    <col min="14342" max="14342" width="18.83203125" style="33" customWidth="1"/>
    <col min="14343" max="14344" width="12.83203125" style="33" customWidth="1"/>
    <col min="14345" max="14345" width="13.83203125" style="33" customWidth="1"/>
    <col min="14346" max="14592" width="9.33203125" style="33"/>
    <col min="14593" max="14593" width="61.33203125" style="33" customWidth="1"/>
    <col min="14594" max="14594" width="15.6640625" style="33" customWidth="1"/>
    <col min="14595" max="14595" width="16.33203125" style="33" customWidth="1"/>
    <col min="14596" max="14596" width="18" style="33" customWidth="1"/>
    <col min="14597" max="14597" width="16.6640625" style="33" customWidth="1"/>
    <col min="14598" max="14598" width="18.83203125" style="33" customWidth="1"/>
    <col min="14599" max="14600" width="12.83203125" style="33" customWidth="1"/>
    <col min="14601" max="14601" width="13.83203125" style="33" customWidth="1"/>
    <col min="14602" max="14848" width="9.33203125" style="33"/>
    <col min="14849" max="14849" width="61.33203125" style="33" customWidth="1"/>
    <col min="14850" max="14850" width="15.6640625" style="33" customWidth="1"/>
    <col min="14851" max="14851" width="16.33203125" style="33" customWidth="1"/>
    <col min="14852" max="14852" width="18" style="33" customWidth="1"/>
    <col min="14853" max="14853" width="16.6640625" style="33" customWidth="1"/>
    <col min="14854" max="14854" width="18.83203125" style="33" customWidth="1"/>
    <col min="14855" max="14856" width="12.83203125" style="33" customWidth="1"/>
    <col min="14857" max="14857" width="13.83203125" style="33" customWidth="1"/>
    <col min="14858" max="15104" width="9.33203125" style="33"/>
    <col min="15105" max="15105" width="61.33203125" style="33" customWidth="1"/>
    <col min="15106" max="15106" width="15.6640625" style="33" customWidth="1"/>
    <col min="15107" max="15107" width="16.33203125" style="33" customWidth="1"/>
    <col min="15108" max="15108" width="18" style="33" customWidth="1"/>
    <col min="15109" max="15109" width="16.6640625" style="33" customWidth="1"/>
    <col min="15110" max="15110" width="18.83203125" style="33" customWidth="1"/>
    <col min="15111" max="15112" width="12.83203125" style="33" customWidth="1"/>
    <col min="15113" max="15113" width="13.83203125" style="33" customWidth="1"/>
    <col min="15114" max="15360" width="9.33203125" style="33"/>
    <col min="15361" max="15361" width="61.33203125" style="33" customWidth="1"/>
    <col min="15362" max="15362" width="15.6640625" style="33" customWidth="1"/>
    <col min="15363" max="15363" width="16.33203125" style="33" customWidth="1"/>
    <col min="15364" max="15364" width="18" style="33" customWidth="1"/>
    <col min="15365" max="15365" width="16.6640625" style="33" customWidth="1"/>
    <col min="15366" max="15366" width="18.83203125" style="33" customWidth="1"/>
    <col min="15367" max="15368" width="12.83203125" style="33" customWidth="1"/>
    <col min="15369" max="15369" width="13.83203125" style="33" customWidth="1"/>
    <col min="15370" max="15616" width="9.33203125" style="33"/>
    <col min="15617" max="15617" width="61.33203125" style="33" customWidth="1"/>
    <col min="15618" max="15618" width="15.6640625" style="33" customWidth="1"/>
    <col min="15619" max="15619" width="16.33203125" style="33" customWidth="1"/>
    <col min="15620" max="15620" width="18" style="33" customWidth="1"/>
    <col min="15621" max="15621" width="16.6640625" style="33" customWidth="1"/>
    <col min="15622" max="15622" width="18.83203125" style="33" customWidth="1"/>
    <col min="15623" max="15624" width="12.83203125" style="33" customWidth="1"/>
    <col min="15625" max="15625" width="13.83203125" style="33" customWidth="1"/>
    <col min="15626" max="15872" width="9.33203125" style="33"/>
    <col min="15873" max="15873" width="61.33203125" style="33" customWidth="1"/>
    <col min="15874" max="15874" width="15.6640625" style="33" customWidth="1"/>
    <col min="15875" max="15875" width="16.33203125" style="33" customWidth="1"/>
    <col min="15876" max="15876" width="18" style="33" customWidth="1"/>
    <col min="15877" max="15877" width="16.6640625" style="33" customWidth="1"/>
    <col min="15878" max="15878" width="18.83203125" style="33" customWidth="1"/>
    <col min="15879" max="15880" width="12.83203125" style="33" customWidth="1"/>
    <col min="15881" max="15881" width="13.83203125" style="33" customWidth="1"/>
    <col min="15882" max="16128" width="9.33203125" style="33"/>
    <col min="16129" max="16129" width="61.33203125" style="33" customWidth="1"/>
    <col min="16130" max="16130" width="15.6640625" style="33" customWidth="1"/>
    <col min="16131" max="16131" width="16.33203125" style="33" customWidth="1"/>
    <col min="16132" max="16132" width="18" style="33" customWidth="1"/>
    <col min="16133" max="16133" width="16.6640625" style="33" customWidth="1"/>
    <col min="16134" max="16134" width="18.83203125" style="33" customWidth="1"/>
    <col min="16135" max="16136" width="12.83203125" style="33" customWidth="1"/>
    <col min="16137" max="16137" width="13.83203125" style="33" customWidth="1"/>
    <col min="16138" max="16384" width="9.33203125" style="33"/>
  </cols>
  <sheetData>
    <row r="1" spans="1:7" ht="25.5" customHeight="1" x14ac:dyDescent="0.2">
      <c r="A1" s="1184" t="s">
        <v>8</v>
      </c>
      <c r="B1" s="1184"/>
      <c r="C1" s="1184"/>
      <c r="D1" s="1184"/>
      <c r="E1" s="1184"/>
      <c r="F1" s="1184"/>
    </row>
    <row r="2" spans="1:7" ht="22.5" customHeight="1" thickBot="1" x14ac:dyDescent="0.3">
      <c r="A2" s="775"/>
      <c r="B2" s="776"/>
      <c r="C2" s="776"/>
      <c r="D2" s="776"/>
      <c r="E2" s="776"/>
      <c r="F2" s="777" t="s">
        <v>555</v>
      </c>
    </row>
    <row r="3" spans="1:7" s="35" customFormat="1" ht="44.25" customHeight="1" thickBot="1" x14ac:dyDescent="0.25">
      <c r="A3" s="778" t="s">
        <v>66</v>
      </c>
      <c r="B3" s="779" t="s">
        <v>67</v>
      </c>
      <c r="C3" s="779" t="s">
        <v>68</v>
      </c>
      <c r="D3" s="779" t="s">
        <v>619</v>
      </c>
      <c r="E3" s="779" t="s">
        <v>603</v>
      </c>
      <c r="F3" s="780" t="s">
        <v>605</v>
      </c>
      <c r="G3" s="781"/>
    </row>
    <row r="4" spans="1:7" s="773" customFormat="1" ht="12" customHeight="1" thickBot="1" x14ac:dyDescent="0.25">
      <c r="A4" s="782">
        <v>1</v>
      </c>
      <c r="B4" s="783">
        <v>2</v>
      </c>
      <c r="C4" s="783">
        <v>3</v>
      </c>
      <c r="D4" s="783">
        <v>4</v>
      </c>
      <c r="E4" s="783">
        <v>5</v>
      </c>
      <c r="F4" s="784" t="s">
        <v>83</v>
      </c>
    </row>
    <row r="5" spans="1:7" s="785" customFormat="1" ht="15.95" customHeight="1" x14ac:dyDescent="0.2">
      <c r="A5" s="848" t="s">
        <v>692</v>
      </c>
      <c r="B5" s="899">
        <f>214127820-23353056</f>
        <v>190774764</v>
      </c>
      <c r="C5" s="792" t="s">
        <v>693</v>
      </c>
      <c r="D5" s="793">
        <v>15243810</v>
      </c>
      <c r="E5" s="793">
        <f>156693000+42191010-23353056</f>
        <v>175530954</v>
      </c>
      <c r="F5" s="849">
        <f t="shared" ref="F5:F103" si="0">B5-D5-E5</f>
        <v>0</v>
      </c>
    </row>
    <row r="6" spans="1:7" s="785" customFormat="1" ht="15.95" customHeight="1" x14ac:dyDescent="0.2">
      <c r="A6" s="898" t="s">
        <v>803</v>
      </c>
      <c r="B6" s="805">
        <v>268788554</v>
      </c>
      <c r="C6" s="806" t="s">
        <v>618</v>
      </c>
      <c r="D6" s="807"/>
      <c r="E6" s="807">
        <v>268788554</v>
      </c>
      <c r="F6" s="808"/>
    </row>
    <row r="7" spans="1:7" s="785" customFormat="1" ht="25.5" x14ac:dyDescent="0.2">
      <c r="A7" s="898" t="s">
        <v>804</v>
      </c>
      <c r="B7" s="805">
        <v>12274550</v>
      </c>
      <c r="C7" s="806" t="s">
        <v>618</v>
      </c>
      <c r="D7" s="807"/>
      <c r="E7" s="807">
        <v>12274550</v>
      </c>
      <c r="F7" s="808"/>
    </row>
    <row r="8" spans="1:7" s="785" customFormat="1" ht="25.5" x14ac:dyDescent="0.2">
      <c r="A8" s="898" t="s">
        <v>805</v>
      </c>
      <c r="B8" s="805">
        <v>2634996</v>
      </c>
      <c r="C8" s="806" t="s">
        <v>618</v>
      </c>
      <c r="D8" s="807"/>
      <c r="E8" s="807">
        <v>2634996</v>
      </c>
      <c r="F8" s="808"/>
    </row>
    <row r="9" spans="1:7" s="785" customFormat="1" ht="15.95" customHeight="1" x14ac:dyDescent="0.2">
      <c r="A9" s="882" t="s">
        <v>652</v>
      </c>
      <c r="B9" s="805">
        <v>25000000</v>
      </c>
      <c r="C9" s="806" t="s">
        <v>618</v>
      </c>
      <c r="D9" s="807"/>
      <c r="E9" s="807">
        <v>25000000</v>
      </c>
      <c r="F9" s="808">
        <f t="shared" si="0"/>
        <v>0</v>
      </c>
    </row>
    <row r="10" spans="1:7" s="774" customFormat="1" ht="15.95" customHeight="1" x14ac:dyDescent="0.2">
      <c r="A10" s="809" t="s">
        <v>627</v>
      </c>
      <c r="B10" s="1114">
        <f>4807488+1298022-60000</f>
        <v>6045510</v>
      </c>
      <c r="C10" s="794" t="s">
        <v>618</v>
      </c>
      <c r="D10" s="795"/>
      <c r="E10" s="676">
        <f>6105510-60000</f>
        <v>6045510</v>
      </c>
      <c r="F10" s="804">
        <f t="shared" si="0"/>
        <v>0</v>
      </c>
    </row>
    <row r="11" spans="1:7" s="785" customFormat="1" ht="15.95" customHeight="1" x14ac:dyDescent="0.2">
      <c r="A11" s="811" t="s">
        <v>633</v>
      </c>
      <c r="B11" s="810">
        <v>300000</v>
      </c>
      <c r="C11" s="794" t="s">
        <v>618</v>
      </c>
      <c r="D11" s="795"/>
      <c r="E11" s="795">
        <v>300000</v>
      </c>
      <c r="F11" s="804">
        <f t="shared" si="0"/>
        <v>0</v>
      </c>
    </row>
    <row r="12" spans="1:7" s="785" customFormat="1" ht="15.95" customHeight="1" x14ac:dyDescent="0.2">
      <c r="A12" s="812" t="s">
        <v>634</v>
      </c>
      <c r="B12" s="810">
        <f>13809000+4191000</f>
        <v>18000000</v>
      </c>
      <c r="C12" s="794" t="s">
        <v>618</v>
      </c>
      <c r="D12" s="795"/>
      <c r="E12" s="795">
        <f>13809000+4191000</f>
        <v>18000000</v>
      </c>
      <c r="F12" s="804">
        <f t="shared" si="0"/>
        <v>0</v>
      </c>
    </row>
    <row r="13" spans="1:7" s="785" customFormat="1" ht="18.75" customHeight="1" x14ac:dyDescent="0.2">
      <c r="A13" s="854" t="s">
        <v>636</v>
      </c>
      <c r="B13" s="810">
        <f>12076323+797160-140102</f>
        <v>12733381</v>
      </c>
      <c r="C13" s="794" t="s">
        <v>694</v>
      </c>
      <c r="D13" s="795">
        <v>797160</v>
      </c>
      <c r="E13" s="795">
        <f>12076323-140102</f>
        <v>11936221</v>
      </c>
      <c r="F13" s="804">
        <f t="shared" si="0"/>
        <v>0</v>
      </c>
    </row>
    <row r="14" spans="1:7" s="785" customFormat="1" ht="15.95" customHeight="1" x14ac:dyDescent="0.2">
      <c r="A14" s="813" t="s">
        <v>637</v>
      </c>
      <c r="B14" s="810">
        <v>1270000</v>
      </c>
      <c r="C14" s="794" t="s">
        <v>618</v>
      </c>
      <c r="D14" s="795"/>
      <c r="E14" s="795">
        <v>1270000</v>
      </c>
      <c r="F14" s="804">
        <f t="shared" si="0"/>
        <v>0</v>
      </c>
    </row>
    <row r="15" spans="1:7" s="785" customFormat="1" ht="18.75" customHeight="1" x14ac:dyDescent="0.2">
      <c r="A15" s="809" t="s">
        <v>638</v>
      </c>
      <c r="B15" s="810">
        <v>359410</v>
      </c>
      <c r="C15" s="794" t="s">
        <v>618</v>
      </c>
      <c r="D15" s="795"/>
      <c r="E15" s="795">
        <v>359410</v>
      </c>
      <c r="F15" s="804">
        <f>B15-D15-E15</f>
        <v>0</v>
      </c>
    </row>
    <row r="16" spans="1:7" s="785" customFormat="1" ht="15.95" customHeight="1" x14ac:dyDescent="0.2">
      <c r="A16" s="809" t="s">
        <v>639</v>
      </c>
      <c r="B16" s="810">
        <v>317500</v>
      </c>
      <c r="C16" s="794" t="s">
        <v>618</v>
      </c>
      <c r="D16" s="814"/>
      <c r="E16" s="795">
        <v>317500</v>
      </c>
      <c r="F16" s="839">
        <f>B16-D16-E16</f>
        <v>0</v>
      </c>
    </row>
    <row r="17" spans="1:6" s="785" customFormat="1" ht="15.95" customHeight="1" x14ac:dyDescent="0.2">
      <c r="A17" s="809" t="s">
        <v>640</v>
      </c>
      <c r="B17" s="810">
        <v>1905000</v>
      </c>
      <c r="C17" s="794" t="s">
        <v>618</v>
      </c>
      <c r="D17" s="814"/>
      <c r="E17" s="795">
        <v>1905000</v>
      </c>
      <c r="F17" s="839">
        <f t="shared" ref="F17:F26" si="1">B17-D17-E17</f>
        <v>0</v>
      </c>
    </row>
    <row r="18" spans="1:6" s="785" customFormat="1" ht="15.95" customHeight="1" x14ac:dyDescent="0.2">
      <c r="A18" s="809" t="s">
        <v>641</v>
      </c>
      <c r="B18" s="810">
        <v>200000</v>
      </c>
      <c r="C18" s="794" t="s">
        <v>618</v>
      </c>
      <c r="D18" s="814"/>
      <c r="E18" s="795">
        <v>200000</v>
      </c>
      <c r="F18" s="839">
        <f t="shared" si="1"/>
        <v>0</v>
      </c>
    </row>
    <row r="19" spans="1:6" s="785" customFormat="1" ht="15.95" customHeight="1" x14ac:dyDescent="0.2">
      <c r="A19" s="809" t="s">
        <v>642</v>
      </c>
      <c r="B19" s="810">
        <v>400001</v>
      </c>
      <c r="C19" s="794" t="s">
        <v>618</v>
      </c>
      <c r="D19" s="795"/>
      <c r="E19" s="795">
        <v>400001</v>
      </c>
      <c r="F19" s="839">
        <f t="shared" si="1"/>
        <v>0</v>
      </c>
    </row>
    <row r="20" spans="1:6" s="785" customFormat="1" ht="15.95" customHeight="1" x14ac:dyDescent="0.2">
      <c r="A20" s="811" t="s">
        <v>643</v>
      </c>
      <c r="B20" s="1114">
        <f>5000+100000-82667-22323</f>
        <v>10</v>
      </c>
      <c r="C20" s="794" t="s">
        <v>618</v>
      </c>
      <c r="D20" s="795"/>
      <c r="E20" s="676">
        <f>5000+100000-82667-22323</f>
        <v>10</v>
      </c>
      <c r="F20" s="839">
        <f t="shared" si="1"/>
        <v>0</v>
      </c>
    </row>
    <row r="21" spans="1:6" s="785" customFormat="1" ht="31.5" customHeight="1" x14ac:dyDescent="0.2">
      <c r="A21" s="809" t="s">
        <v>696</v>
      </c>
      <c r="B21" s="810">
        <v>6704583</v>
      </c>
      <c r="C21" s="794" t="s">
        <v>695</v>
      </c>
      <c r="D21" s="795"/>
      <c r="E21" s="795">
        <v>6704583</v>
      </c>
      <c r="F21" s="839">
        <f t="shared" si="1"/>
        <v>0</v>
      </c>
    </row>
    <row r="22" spans="1:6" s="866" customFormat="1" ht="25.5" x14ac:dyDescent="0.2">
      <c r="A22" s="850" t="s">
        <v>777</v>
      </c>
      <c r="B22" s="1127">
        <f>82307980-100000</f>
        <v>82207980</v>
      </c>
      <c r="C22" s="852" t="s">
        <v>618</v>
      </c>
      <c r="D22" s="853"/>
      <c r="E22" s="909">
        <f>82307980-100000</f>
        <v>82207980</v>
      </c>
      <c r="F22" s="839">
        <f t="shared" si="1"/>
        <v>0</v>
      </c>
    </row>
    <row r="23" spans="1:6" s="774" customFormat="1" ht="25.5" x14ac:dyDescent="0.2">
      <c r="A23" s="850" t="s">
        <v>790</v>
      </c>
      <c r="B23" s="851">
        <f>346116</f>
        <v>346116</v>
      </c>
      <c r="C23" s="852" t="s">
        <v>618</v>
      </c>
      <c r="D23" s="853"/>
      <c r="E23" s="853">
        <v>346116</v>
      </c>
      <c r="F23" s="855"/>
    </row>
    <row r="24" spans="1:6" s="774" customFormat="1" x14ac:dyDescent="0.2">
      <c r="A24" s="850" t="s">
        <v>791</v>
      </c>
      <c r="B24" s="851">
        <v>7239000</v>
      </c>
      <c r="C24" s="852" t="s">
        <v>618</v>
      </c>
      <c r="D24" s="853"/>
      <c r="E24" s="853">
        <v>7239000</v>
      </c>
      <c r="F24" s="855"/>
    </row>
    <row r="25" spans="1:6" s="774" customFormat="1" x14ac:dyDescent="0.2">
      <c r="A25" s="850" t="s">
        <v>792</v>
      </c>
      <c r="B25" s="851">
        <v>230000</v>
      </c>
      <c r="C25" s="852" t="s">
        <v>618</v>
      </c>
      <c r="D25" s="853"/>
      <c r="E25" s="853">
        <v>230000</v>
      </c>
      <c r="F25" s="855"/>
    </row>
    <row r="26" spans="1:6" s="785" customFormat="1" ht="21.75" customHeight="1" x14ac:dyDescent="0.2">
      <c r="A26" s="809" t="s">
        <v>653</v>
      </c>
      <c r="B26" s="810">
        <v>835610</v>
      </c>
      <c r="C26" s="794" t="s">
        <v>618</v>
      </c>
      <c r="D26" s="795"/>
      <c r="E26" s="795">
        <v>835610</v>
      </c>
      <c r="F26" s="839">
        <f t="shared" si="1"/>
        <v>0</v>
      </c>
    </row>
    <row r="27" spans="1:6" s="785" customFormat="1" ht="25.5" x14ac:dyDescent="0.2">
      <c r="A27" s="809" t="s">
        <v>817</v>
      </c>
      <c r="B27" s="1114">
        <f>30000000+60000+295234</f>
        <v>30355234</v>
      </c>
      <c r="C27" s="794" t="s">
        <v>819</v>
      </c>
      <c r="D27" s="795"/>
      <c r="E27" s="676">
        <f>30000000+295234+60000</f>
        <v>30355234</v>
      </c>
      <c r="F27" s="839"/>
    </row>
    <row r="28" spans="1:6" s="785" customFormat="1" ht="21.75" customHeight="1" x14ac:dyDescent="0.2">
      <c r="A28" s="809" t="s">
        <v>821</v>
      </c>
      <c r="B28" s="810">
        <v>30000000</v>
      </c>
      <c r="C28" s="794" t="s">
        <v>819</v>
      </c>
      <c r="D28" s="795"/>
      <c r="E28" s="795">
        <v>30000000</v>
      </c>
      <c r="F28" s="839"/>
    </row>
    <row r="29" spans="1:6" s="785" customFormat="1" ht="21.75" customHeight="1" x14ac:dyDescent="0.2">
      <c r="A29" s="809" t="s">
        <v>823</v>
      </c>
      <c r="B29" s="851">
        <v>152706150</v>
      </c>
      <c r="C29" s="852" t="s">
        <v>819</v>
      </c>
      <c r="D29" s="853"/>
      <c r="E29" s="853">
        <v>152706150</v>
      </c>
      <c r="F29" s="1045"/>
    </row>
    <row r="30" spans="1:6" s="785" customFormat="1" ht="21.75" customHeight="1" x14ac:dyDescent="0.2">
      <c r="A30" s="809" t="s">
        <v>825</v>
      </c>
      <c r="B30" s="810">
        <v>691900</v>
      </c>
      <c r="C30" s="794" t="s">
        <v>819</v>
      </c>
      <c r="D30" s="795"/>
      <c r="E30" s="795">
        <v>691900</v>
      </c>
      <c r="F30" s="839"/>
    </row>
    <row r="31" spans="1:6" s="785" customFormat="1" ht="21.75" customHeight="1" thickBot="1" x14ac:dyDescent="0.25">
      <c r="A31" s="1120" t="s">
        <v>845</v>
      </c>
      <c r="B31" s="1121">
        <v>559520</v>
      </c>
      <c r="C31" s="1122" t="s">
        <v>618</v>
      </c>
      <c r="D31" s="1123"/>
      <c r="E31" s="1123">
        <v>559520</v>
      </c>
      <c r="F31" s="1082"/>
    </row>
    <row r="32" spans="1:6" s="866" customFormat="1" ht="15.75" customHeight="1" x14ac:dyDescent="0.2">
      <c r="A32" s="834" t="s">
        <v>548</v>
      </c>
      <c r="B32" s="835"/>
      <c r="C32" s="836"/>
      <c r="D32" s="837"/>
      <c r="E32" s="837"/>
      <c r="F32" s="838">
        <f t="shared" si="0"/>
        <v>0</v>
      </c>
    </row>
    <row r="33" spans="1:6" s="785" customFormat="1" ht="15.75" customHeight="1" x14ac:dyDescent="0.2">
      <c r="A33" s="790" t="s">
        <v>623</v>
      </c>
      <c r="B33" s="788">
        <v>105000</v>
      </c>
      <c r="C33" s="786" t="s">
        <v>618</v>
      </c>
      <c r="D33" s="789"/>
      <c r="E33" s="789">
        <v>105000</v>
      </c>
      <c r="F33" s="787">
        <f t="shared" si="0"/>
        <v>0</v>
      </c>
    </row>
    <row r="34" spans="1:6" s="785" customFormat="1" ht="15.75" customHeight="1" x14ac:dyDescent="0.2">
      <c r="A34" s="790" t="s">
        <v>624</v>
      </c>
      <c r="B34" s="1126">
        <f>1969536-800000</f>
        <v>1169536</v>
      </c>
      <c r="C34" s="786" t="s">
        <v>618</v>
      </c>
      <c r="D34" s="789"/>
      <c r="E34" s="1125">
        <f>1969536-800000</f>
        <v>1169536</v>
      </c>
      <c r="F34" s="791">
        <f t="shared" si="0"/>
        <v>0</v>
      </c>
    </row>
    <row r="35" spans="1:6" s="867" customFormat="1" ht="29.25" customHeight="1" x14ac:dyDescent="0.2">
      <c r="A35" s="900" t="s">
        <v>625</v>
      </c>
      <c r="B35" s="1124">
        <f>1281381+869950+340000</f>
        <v>2491331</v>
      </c>
      <c r="C35" s="786" t="s">
        <v>618</v>
      </c>
      <c r="D35" s="901"/>
      <c r="E35" s="901">
        <f>1281381+869950+340000</f>
        <v>2491331</v>
      </c>
      <c r="F35" s="1046">
        <f t="shared" si="0"/>
        <v>0</v>
      </c>
    </row>
    <row r="36" spans="1:6" s="785" customFormat="1" ht="15.75" customHeight="1" thickBot="1" x14ac:dyDescent="0.25">
      <c r="A36" s="856" t="s">
        <v>626</v>
      </c>
      <c r="B36" s="857">
        <v>230000</v>
      </c>
      <c r="C36" s="858" t="s">
        <v>618</v>
      </c>
      <c r="D36" s="859"/>
      <c r="E36" s="859">
        <v>230000</v>
      </c>
      <c r="F36" s="860">
        <f t="shared" si="0"/>
        <v>0</v>
      </c>
    </row>
    <row r="37" spans="1:6" s="866" customFormat="1" ht="15.75" customHeight="1" x14ac:dyDescent="0.2">
      <c r="A37" s="815" t="s">
        <v>532</v>
      </c>
      <c r="B37" s="816"/>
      <c r="C37" s="817"/>
      <c r="D37" s="818"/>
      <c r="E37" s="818"/>
      <c r="F37" s="819">
        <f t="shared" si="0"/>
        <v>0</v>
      </c>
    </row>
    <row r="38" spans="1:6" s="866" customFormat="1" ht="25.5" x14ac:dyDescent="0.2">
      <c r="A38" s="820" t="s">
        <v>814</v>
      </c>
      <c r="B38" s="821">
        <f>446050</f>
        <v>446050</v>
      </c>
      <c r="C38" s="822" t="s">
        <v>618</v>
      </c>
      <c r="D38" s="823"/>
      <c r="E38" s="823">
        <v>446050</v>
      </c>
      <c r="F38" s="828">
        <f t="shared" si="0"/>
        <v>0</v>
      </c>
    </row>
    <row r="39" spans="1:6" s="867" customFormat="1" ht="15.75" customHeight="1" x14ac:dyDescent="0.2">
      <c r="A39" s="820" t="s">
        <v>832</v>
      </c>
      <c r="B39" s="821">
        <f>60000</f>
        <v>60000</v>
      </c>
      <c r="C39" s="822" t="s">
        <v>618</v>
      </c>
      <c r="D39" s="823"/>
      <c r="E39" s="823">
        <v>60000</v>
      </c>
      <c r="F39" s="825">
        <f t="shared" si="0"/>
        <v>0</v>
      </c>
    </row>
    <row r="40" spans="1:6" s="867" customFormat="1" ht="15.75" customHeight="1" thickBot="1" x14ac:dyDescent="0.25">
      <c r="A40" s="827" t="s">
        <v>799</v>
      </c>
      <c r="B40" s="862">
        <v>70000</v>
      </c>
      <c r="C40" s="863" t="s">
        <v>618</v>
      </c>
      <c r="D40" s="864"/>
      <c r="E40" s="864">
        <v>70000</v>
      </c>
      <c r="F40" s="865"/>
    </row>
    <row r="41" spans="1:6" s="867" customFormat="1" ht="15.75" customHeight="1" x14ac:dyDescent="0.2">
      <c r="A41" s="815" t="s">
        <v>0</v>
      </c>
      <c r="B41" s="816"/>
      <c r="C41" s="817"/>
      <c r="D41" s="818"/>
      <c r="E41" s="818"/>
      <c r="F41" s="819">
        <f t="shared" si="0"/>
        <v>0</v>
      </c>
    </row>
    <row r="42" spans="1:6" s="866" customFormat="1" ht="15.75" customHeight="1" x14ac:dyDescent="0.2">
      <c r="A42" s="820" t="s">
        <v>654</v>
      </c>
      <c r="B42" s="821">
        <v>58420</v>
      </c>
      <c r="C42" s="822" t="s">
        <v>618</v>
      </c>
      <c r="D42" s="826"/>
      <c r="E42" s="823">
        <v>58420</v>
      </c>
      <c r="F42" s="825">
        <f t="shared" si="0"/>
        <v>0</v>
      </c>
    </row>
    <row r="43" spans="1:6" s="867" customFormat="1" ht="15.75" customHeight="1" x14ac:dyDescent="0.2">
      <c r="A43" s="820" t="s">
        <v>655</v>
      </c>
      <c r="B43" s="821">
        <f>82550+85000</f>
        <v>167550</v>
      </c>
      <c r="C43" s="822" t="s">
        <v>618</v>
      </c>
      <c r="D43" s="826"/>
      <c r="E43" s="823">
        <f>82550+85000</f>
        <v>167550</v>
      </c>
      <c r="F43" s="825">
        <f t="shared" si="0"/>
        <v>0</v>
      </c>
    </row>
    <row r="44" spans="1:6" s="866" customFormat="1" ht="15.75" customHeight="1" x14ac:dyDescent="0.2">
      <c r="A44" s="820" t="s">
        <v>656</v>
      </c>
      <c r="B44" s="821">
        <v>762000</v>
      </c>
      <c r="C44" s="822" t="s">
        <v>618</v>
      </c>
      <c r="D44" s="823"/>
      <c r="E44" s="823">
        <v>762000</v>
      </c>
      <c r="F44" s="825">
        <f t="shared" si="0"/>
        <v>0</v>
      </c>
    </row>
    <row r="45" spans="1:6" s="785" customFormat="1" ht="25.5" x14ac:dyDescent="0.2">
      <c r="A45" s="820" t="s">
        <v>657</v>
      </c>
      <c r="B45" s="821">
        <v>365760</v>
      </c>
      <c r="C45" s="822" t="s">
        <v>618</v>
      </c>
      <c r="D45" s="823"/>
      <c r="E45" s="823">
        <v>365760</v>
      </c>
      <c r="F45" s="825">
        <f t="shared" si="0"/>
        <v>0</v>
      </c>
    </row>
    <row r="46" spans="1:6" s="774" customFormat="1" ht="15.75" customHeight="1" x14ac:dyDescent="0.2">
      <c r="A46" s="827" t="s">
        <v>658</v>
      </c>
      <c r="B46" s="821">
        <v>368300</v>
      </c>
      <c r="C46" s="822" t="s">
        <v>618</v>
      </c>
      <c r="D46" s="823"/>
      <c r="E46" s="823">
        <v>368300</v>
      </c>
      <c r="F46" s="828">
        <f t="shared" si="0"/>
        <v>0</v>
      </c>
    </row>
    <row r="47" spans="1:6" s="866" customFormat="1" ht="38.25" x14ac:dyDescent="0.2">
      <c r="A47" s="796" t="s">
        <v>833</v>
      </c>
      <c r="B47" s="821">
        <v>238760</v>
      </c>
      <c r="C47" s="822" t="s">
        <v>618</v>
      </c>
      <c r="D47" s="823"/>
      <c r="E47" s="823">
        <v>238760</v>
      </c>
      <c r="F47" s="828">
        <f t="shared" si="0"/>
        <v>0</v>
      </c>
    </row>
    <row r="48" spans="1:6" s="785" customFormat="1" ht="15.75" customHeight="1" thickBot="1" x14ac:dyDescent="0.25">
      <c r="A48" s="844" t="s">
        <v>659</v>
      </c>
      <c r="B48" s="840">
        <v>50800</v>
      </c>
      <c r="C48" s="841" t="s">
        <v>618</v>
      </c>
      <c r="D48" s="842"/>
      <c r="E48" s="842">
        <v>50800</v>
      </c>
      <c r="F48" s="843">
        <f t="shared" si="0"/>
        <v>0</v>
      </c>
    </row>
    <row r="49" spans="1:6" s="867" customFormat="1" ht="15.75" customHeight="1" thickBot="1" x14ac:dyDescent="0.25">
      <c r="A49" s="861" t="s">
        <v>813</v>
      </c>
      <c r="B49" s="862">
        <v>220000</v>
      </c>
      <c r="C49" s="863" t="s">
        <v>618</v>
      </c>
      <c r="D49" s="864"/>
      <c r="E49" s="864">
        <v>220000</v>
      </c>
      <c r="F49" s="865">
        <f t="shared" si="0"/>
        <v>0</v>
      </c>
    </row>
    <row r="50" spans="1:6" s="785" customFormat="1" ht="15.75" customHeight="1" x14ac:dyDescent="0.2">
      <c r="A50" s="845" t="s">
        <v>572</v>
      </c>
      <c r="B50" s="816"/>
      <c r="C50" s="817"/>
      <c r="D50" s="818"/>
      <c r="E50" s="818"/>
      <c r="F50" s="819">
        <f t="shared" si="0"/>
        <v>0</v>
      </c>
    </row>
    <row r="51" spans="1:6" s="785" customFormat="1" ht="15.75" customHeight="1" x14ac:dyDescent="0.2">
      <c r="A51" s="797" t="s">
        <v>660</v>
      </c>
      <c r="B51" s="821">
        <v>300000</v>
      </c>
      <c r="C51" s="822" t="s">
        <v>618</v>
      </c>
      <c r="D51" s="823"/>
      <c r="E51" s="823">
        <v>300000</v>
      </c>
      <c r="F51" s="825">
        <f t="shared" si="0"/>
        <v>0</v>
      </c>
    </row>
    <row r="52" spans="1:6" s="868" customFormat="1" ht="15.75" customHeight="1" x14ac:dyDescent="0.2">
      <c r="A52" s="797" t="s">
        <v>661</v>
      </c>
      <c r="B52" s="821">
        <v>1599862</v>
      </c>
      <c r="C52" s="822" t="s">
        <v>618</v>
      </c>
      <c r="D52" s="823"/>
      <c r="E52" s="823">
        <v>1599862</v>
      </c>
      <c r="F52" s="825">
        <f t="shared" si="0"/>
        <v>0</v>
      </c>
    </row>
    <row r="53" spans="1:6" s="867" customFormat="1" ht="15.75" customHeight="1" x14ac:dyDescent="0.2">
      <c r="A53" s="797" t="s">
        <v>662</v>
      </c>
      <c r="B53" s="821">
        <f>49852+94208</f>
        <v>144060</v>
      </c>
      <c r="C53" s="822" t="s">
        <v>618</v>
      </c>
      <c r="D53" s="823"/>
      <c r="E53" s="823">
        <f>49852+94208</f>
        <v>144060</v>
      </c>
      <c r="F53" s="825">
        <f t="shared" si="0"/>
        <v>0</v>
      </c>
    </row>
    <row r="54" spans="1:6" s="867" customFormat="1" ht="15.75" customHeight="1" x14ac:dyDescent="0.2">
      <c r="A54" s="801" t="s">
        <v>793</v>
      </c>
      <c r="B54" s="821">
        <f>1530000-86000</f>
        <v>1444000</v>
      </c>
      <c r="C54" s="822" t="s">
        <v>618</v>
      </c>
      <c r="D54" s="823"/>
      <c r="E54" s="823">
        <f>1530000-86000</f>
        <v>1444000</v>
      </c>
      <c r="F54" s="825">
        <f t="shared" si="0"/>
        <v>0</v>
      </c>
    </row>
    <row r="55" spans="1:6" s="867" customFormat="1" ht="15.75" customHeight="1" x14ac:dyDescent="0.2">
      <c r="A55" s="801" t="s">
        <v>815</v>
      </c>
      <c r="B55" s="821">
        <v>86000</v>
      </c>
      <c r="C55" s="822" t="s">
        <v>618</v>
      </c>
      <c r="D55" s="823"/>
      <c r="E55" s="823">
        <v>86000</v>
      </c>
      <c r="F55" s="825"/>
    </row>
    <row r="56" spans="1:6" s="785" customFormat="1" ht="29.25" customHeight="1" x14ac:dyDescent="0.2">
      <c r="A56" s="803" t="s">
        <v>794</v>
      </c>
      <c r="B56" s="821">
        <v>124000</v>
      </c>
      <c r="C56" s="822" t="s">
        <v>618</v>
      </c>
      <c r="D56" s="823"/>
      <c r="E56" s="823">
        <v>124000</v>
      </c>
      <c r="F56" s="825">
        <f t="shared" si="0"/>
        <v>0</v>
      </c>
    </row>
    <row r="57" spans="1:6" s="867" customFormat="1" ht="24" customHeight="1" x14ac:dyDescent="0.2">
      <c r="A57" s="803" t="s">
        <v>837</v>
      </c>
      <c r="B57" s="821">
        <v>389000</v>
      </c>
      <c r="C57" s="822" t="s">
        <v>618</v>
      </c>
      <c r="D57" s="823"/>
      <c r="E57" s="823">
        <v>389000</v>
      </c>
      <c r="F57" s="825">
        <f t="shared" si="0"/>
        <v>0</v>
      </c>
    </row>
    <row r="58" spans="1:6" s="867" customFormat="1" ht="15.75" customHeight="1" x14ac:dyDescent="0.2">
      <c r="A58" s="797" t="s">
        <v>832</v>
      </c>
      <c r="B58" s="821">
        <f>36500+84000+120860+45000</f>
        <v>286360</v>
      </c>
      <c r="C58" s="822" t="s">
        <v>618</v>
      </c>
      <c r="D58" s="823"/>
      <c r="E58" s="823">
        <f>36500+84000+120860+45000</f>
        <v>286360</v>
      </c>
      <c r="F58" s="825">
        <f t="shared" si="0"/>
        <v>0</v>
      </c>
    </row>
    <row r="59" spans="1:6" s="867" customFormat="1" ht="15.75" customHeight="1" thickBot="1" x14ac:dyDescent="0.25">
      <c r="A59" s="861" t="s">
        <v>783</v>
      </c>
      <c r="B59" s="862">
        <f>1070000+121000</f>
        <v>1191000</v>
      </c>
      <c r="C59" s="863" t="s">
        <v>618</v>
      </c>
      <c r="D59" s="864"/>
      <c r="E59" s="864">
        <f>1070000+121000</f>
        <v>1191000</v>
      </c>
      <c r="F59" s="865">
        <f t="shared" si="0"/>
        <v>0</v>
      </c>
    </row>
    <row r="60" spans="1:6" s="869" customFormat="1" ht="24" customHeight="1" x14ac:dyDescent="0.2">
      <c r="A60" s="845" t="s">
        <v>573</v>
      </c>
      <c r="B60" s="816"/>
      <c r="C60" s="817"/>
      <c r="D60" s="818"/>
      <c r="E60" s="818"/>
      <c r="F60" s="819">
        <f t="shared" si="0"/>
        <v>0</v>
      </c>
    </row>
    <row r="61" spans="1:6" s="785" customFormat="1" ht="16.5" customHeight="1" x14ac:dyDescent="0.2">
      <c r="A61" s="798" t="s">
        <v>574</v>
      </c>
      <c r="B61" s="821"/>
      <c r="C61" s="822"/>
      <c r="D61" s="823"/>
      <c r="E61" s="823"/>
      <c r="F61" s="825">
        <f t="shared" si="0"/>
        <v>0</v>
      </c>
    </row>
    <row r="62" spans="1:6" s="785" customFormat="1" ht="25.15" customHeight="1" x14ac:dyDescent="0.2">
      <c r="A62" s="796" t="s">
        <v>663</v>
      </c>
      <c r="B62" s="799">
        <v>70000</v>
      </c>
      <c r="C62" s="822" t="s">
        <v>618</v>
      </c>
      <c r="D62" s="823"/>
      <c r="E62" s="800">
        <v>70000</v>
      </c>
      <c r="F62" s="825">
        <f t="shared" si="0"/>
        <v>0</v>
      </c>
    </row>
    <row r="63" spans="1:6" s="867" customFormat="1" ht="16.5" customHeight="1" x14ac:dyDescent="0.2">
      <c r="A63" s="797" t="s">
        <v>664</v>
      </c>
      <c r="B63" s="799">
        <v>60000</v>
      </c>
      <c r="C63" s="822" t="s">
        <v>618</v>
      </c>
      <c r="D63" s="823"/>
      <c r="E63" s="800">
        <v>60000</v>
      </c>
      <c r="F63" s="825">
        <f t="shared" si="0"/>
        <v>0</v>
      </c>
    </row>
    <row r="64" spans="1:6" s="774" customFormat="1" ht="22.5" customHeight="1" x14ac:dyDescent="0.2">
      <c r="A64" s="797" t="s">
        <v>665</v>
      </c>
      <c r="B64" s="799">
        <v>120000</v>
      </c>
      <c r="C64" s="822" t="s">
        <v>618</v>
      </c>
      <c r="D64" s="823"/>
      <c r="E64" s="800">
        <v>120000</v>
      </c>
      <c r="F64" s="825">
        <f t="shared" si="0"/>
        <v>0</v>
      </c>
    </row>
    <row r="65" spans="1:6" s="867" customFormat="1" ht="22.5" customHeight="1" x14ac:dyDescent="0.2">
      <c r="A65" s="797" t="s">
        <v>666</v>
      </c>
      <c r="B65" s="799">
        <v>60000</v>
      </c>
      <c r="C65" s="822" t="s">
        <v>618</v>
      </c>
      <c r="D65" s="823"/>
      <c r="E65" s="800">
        <v>60000</v>
      </c>
      <c r="F65" s="825">
        <f t="shared" si="0"/>
        <v>0</v>
      </c>
    </row>
    <row r="66" spans="1:6" s="867" customFormat="1" ht="22.5" customHeight="1" x14ac:dyDescent="0.2">
      <c r="A66" s="797" t="s">
        <v>667</v>
      </c>
      <c r="B66" s="799">
        <v>33332</v>
      </c>
      <c r="C66" s="822" t="s">
        <v>618</v>
      </c>
      <c r="D66" s="823"/>
      <c r="E66" s="800">
        <v>33332</v>
      </c>
      <c r="F66" s="825"/>
    </row>
    <row r="67" spans="1:6" s="866" customFormat="1" ht="22.5" customHeight="1" x14ac:dyDescent="0.2">
      <c r="A67" s="797" t="s">
        <v>832</v>
      </c>
      <c r="B67" s="799">
        <v>63500</v>
      </c>
      <c r="C67" s="822" t="s">
        <v>618</v>
      </c>
      <c r="D67" s="823"/>
      <c r="E67" s="800">
        <v>63500</v>
      </c>
      <c r="F67" s="825">
        <f t="shared" si="0"/>
        <v>0</v>
      </c>
    </row>
    <row r="68" spans="1:6" s="774" customFormat="1" ht="22.5" customHeight="1" x14ac:dyDescent="0.2">
      <c r="A68" s="798" t="s">
        <v>575</v>
      </c>
      <c r="B68" s="799"/>
      <c r="C68" s="822"/>
      <c r="D68" s="823"/>
      <c r="E68" s="800"/>
      <c r="F68" s="825">
        <f t="shared" si="0"/>
        <v>0</v>
      </c>
    </row>
    <row r="69" spans="1:6" s="774" customFormat="1" ht="22.5" customHeight="1" x14ac:dyDescent="0.2">
      <c r="A69" s="797" t="s">
        <v>668</v>
      </c>
      <c r="B69" s="799">
        <v>90000</v>
      </c>
      <c r="C69" s="822" t="s">
        <v>618</v>
      </c>
      <c r="D69" s="823"/>
      <c r="E69" s="800">
        <v>90000</v>
      </c>
      <c r="F69" s="825">
        <f t="shared" si="0"/>
        <v>0</v>
      </c>
    </row>
    <row r="70" spans="1:6" s="774" customFormat="1" ht="22.5" customHeight="1" x14ac:dyDescent="0.2">
      <c r="A70" s="797" t="s">
        <v>669</v>
      </c>
      <c r="B70" s="799">
        <v>33332</v>
      </c>
      <c r="C70" s="822" t="s">
        <v>618</v>
      </c>
      <c r="D70" s="823"/>
      <c r="E70" s="800">
        <v>33332</v>
      </c>
      <c r="F70" s="825">
        <f t="shared" si="0"/>
        <v>0</v>
      </c>
    </row>
    <row r="71" spans="1:6" s="774" customFormat="1" ht="22.5" customHeight="1" x14ac:dyDescent="0.2">
      <c r="A71" s="798" t="s">
        <v>576</v>
      </c>
      <c r="B71" s="821"/>
      <c r="C71" s="822"/>
      <c r="D71" s="823"/>
      <c r="E71" s="823"/>
      <c r="F71" s="825">
        <f t="shared" si="0"/>
        <v>0</v>
      </c>
    </row>
    <row r="72" spans="1:6" s="785" customFormat="1" ht="21" customHeight="1" x14ac:dyDescent="0.2">
      <c r="A72" s="797" t="s">
        <v>670</v>
      </c>
      <c r="B72" s="821">
        <v>72000</v>
      </c>
      <c r="C72" s="822" t="s">
        <v>618</v>
      </c>
      <c r="D72" s="823"/>
      <c r="E72" s="823">
        <v>72000</v>
      </c>
      <c r="F72" s="825">
        <f t="shared" si="0"/>
        <v>0</v>
      </c>
    </row>
    <row r="73" spans="1:6" s="785" customFormat="1" ht="21" customHeight="1" x14ac:dyDescent="0.2">
      <c r="A73" s="797" t="s">
        <v>671</v>
      </c>
      <c r="B73" s="821">
        <v>50000</v>
      </c>
      <c r="C73" s="822" t="s">
        <v>618</v>
      </c>
      <c r="D73" s="823"/>
      <c r="E73" s="823">
        <v>50000</v>
      </c>
      <c r="F73" s="825">
        <f t="shared" si="0"/>
        <v>0</v>
      </c>
    </row>
    <row r="74" spans="1:6" s="867" customFormat="1" ht="21" customHeight="1" x14ac:dyDescent="0.2">
      <c r="A74" s="797" t="s">
        <v>672</v>
      </c>
      <c r="B74" s="821">
        <v>16667</v>
      </c>
      <c r="C74" s="822" t="s">
        <v>618</v>
      </c>
      <c r="D74" s="823"/>
      <c r="E74" s="823">
        <v>16667</v>
      </c>
      <c r="F74" s="825">
        <f t="shared" si="0"/>
        <v>0</v>
      </c>
    </row>
    <row r="75" spans="1:6" s="867" customFormat="1" ht="21" customHeight="1" x14ac:dyDescent="0.2">
      <c r="A75" s="801" t="s">
        <v>673</v>
      </c>
      <c r="B75" s="821">
        <v>70000</v>
      </c>
      <c r="C75" s="822" t="s">
        <v>618</v>
      </c>
      <c r="D75" s="823"/>
      <c r="E75" s="823">
        <v>70000</v>
      </c>
      <c r="F75" s="825">
        <f t="shared" si="0"/>
        <v>0</v>
      </c>
    </row>
    <row r="76" spans="1:6" s="774" customFormat="1" ht="21" customHeight="1" x14ac:dyDescent="0.2">
      <c r="A76" s="801" t="s">
        <v>624</v>
      </c>
      <c r="B76" s="821">
        <v>74000</v>
      </c>
      <c r="C76" s="822" t="s">
        <v>618</v>
      </c>
      <c r="D76" s="823"/>
      <c r="E76" s="823">
        <v>74000</v>
      </c>
      <c r="F76" s="825">
        <f t="shared" si="0"/>
        <v>0</v>
      </c>
    </row>
    <row r="77" spans="1:6" s="867" customFormat="1" ht="25.9" customHeight="1" x14ac:dyDescent="0.2">
      <c r="A77" s="798" t="s">
        <v>800</v>
      </c>
      <c r="B77" s="821"/>
      <c r="C77" s="822"/>
      <c r="D77" s="823"/>
      <c r="E77" s="823"/>
      <c r="F77" s="825">
        <f t="shared" si="0"/>
        <v>0</v>
      </c>
    </row>
    <row r="78" spans="1:6" s="867" customFormat="1" x14ac:dyDescent="0.2">
      <c r="A78" s="801" t="s">
        <v>801</v>
      </c>
      <c r="B78" s="821">
        <f>717651-308980</f>
        <v>408671</v>
      </c>
      <c r="C78" s="822" t="s">
        <v>618</v>
      </c>
      <c r="D78" s="823"/>
      <c r="E78" s="823">
        <f>717651-308980</f>
        <v>408671</v>
      </c>
      <c r="F78" s="825">
        <f t="shared" si="0"/>
        <v>0</v>
      </c>
    </row>
    <row r="79" spans="1:6" s="867" customFormat="1" x14ac:dyDescent="0.2">
      <c r="A79" s="801" t="s">
        <v>802</v>
      </c>
      <c r="B79" s="821">
        <v>1092200</v>
      </c>
      <c r="C79" s="822" t="s">
        <v>618</v>
      </c>
      <c r="D79" s="823"/>
      <c r="E79" s="823">
        <v>1092200</v>
      </c>
      <c r="F79" s="825"/>
    </row>
    <row r="80" spans="1:6" s="866" customFormat="1" ht="21" customHeight="1" x14ac:dyDescent="0.2">
      <c r="A80" s="798" t="s">
        <v>674</v>
      </c>
      <c r="B80" s="821"/>
      <c r="C80" s="822"/>
      <c r="D80" s="823"/>
      <c r="E80" s="823"/>
      <c r="F80" s="825">
        <f t="shared" si="0"/>
        <v>0</v>
      </c>
    </row>
    <row r="81" spans="1:6" s="867" customFormat="1" ht="25.5" x14ac:dyDescent="0.2">
      <c r="A81" s="803" t="s">
        <v>675</v>
      </c>
      <c r="B81" s="821">
        <f>5233000+1500000</f>
        <v>6733000</v>
      </c>
      <c r="C81" s="822" t="s">
        <v>618</v>
      </c>
      <c r="D81" s="823"/>
      <c r="E81" s="823">
        <f>5233000+1500000</f>
        <v>6733000</v>
      </c>
      <c r="F81" s="825">
        <f t="shared" si="0"/>
        <v>0</v>
      </c>
    </row>
    <row r="82" spans="1:6" s="785" customFormat="1" ht="24" customHeight="1" x14ac:dyDescent="0.2">
      <c r="A82" s="802" t="s">
        <v>676</v>
      </c>
      <c r="B82" s="821">
        <v>6500000</v>
      </c>
      <c r="C82" s="822" t="s">
        <v>618</v>
      </c>
      <c r="D82" s="823"/>
      <c r="E82" s="823">
        <v>6500000</v>
      </c>
      <c r="F82" s="825">
        <f t="shared" si="0"/>
        <v>0</v>
      </c>
    </row>
    <row r="83" spans="1:6" s="774" customFormat="1" ht="18" customHeight="1" x14ac:dyDescent="0.2">
      <c r="A83" s="802" t="s">
        <v>834</v>
      </c>
      <c r="B83" s="821">
        <v>75250</v>
      </c>
      <c r="C83" s="822" t="s">
        <v>618</v>
      </c>
      <c r="D83" s="823"/>
      <c r="E83" s="823">
        <v>75250</v>
      </c>
      <c r="F83" s="825">
        <f t="shared" si="0"/>
        <v>0</v>
      </c>
    </row>
    <row r="84" spans="1:6" s="866" customFormat="1" x14ac:dyDescent="0.2">
      <c r="A84" s="829" t="s">
        <v>677</v>
      </c>
      <c r="B84" s="821"/>
      <c r="C84" s="822"/>
      <c r="D84" s="823"/>
      <c r="E84" s="823"/>
      <c r="F84" s="825">
        <f t="shared" si="0"/>
        <v>0</v>
      </c>
    </row>
    <row r="85" spans="1:6" s="866" customFormat="1" x14ac:dyDescent="0.2">
      <c r="A85" s="801" t="s">
        <v>678</v>
      </c>
      <c r="B85" s="799">
        <v>100000</v>
      </c>
      <c r="C85" s="822" t="s">
        <v>618</v>
      </c>
      <c r="D85" s="830"/>
      <c r="E85" s="800">
        <v>100000</v>
      </c>
      <c r="F85" s="825">
        <f t="shared" si="0"/>
        <v>0</v>
      </c>
    </row>
    <row r="86" spans="1:6" s="774" customFormat="1" x14ac:dyDescent="0.2">
      <c r="A86" s="1119" t="s">
        <v>784</v>
      </c>
      <c r="B86" s="1115">
        <f>568532-30000+200000+1396840+70000</f>
        <v>2205372</v>
      </c>
      <c r="C86" s="1116" t="s">
        <v>618</v>
      </c>
      <c r="D86" s="1117"/>
      <c r="E86" s="1118">
        <f>568532-30000+200000+1396840+70000</f>
        <v>2205372</v>
      </c>
      <c r="F86" s="824">
        <f t="shared" si="0"/>
        <v>0</v>
      </c>
    </row>
    <row r="87" spans="1:6" s="774" customFormat="1" x14ac:dyDescent="0.2">
      <c r="A87" s="1119" t="s">
        <v>795</v>
      </c>
      <c r="B87" s="1115">
        <f>30000+13500</f>
        <v>43500</v>
      </c>
      <c r="C87" s="1116" t="s">
        <v>618</v>
      </c>
      <c r="D87" s="1117"/>
      <c r="E87" s="1118">
        <f>30000+13500</f>
        <v>43500</v>
      </c>
      <c r="F87" s="824"/>
    </row>
    <row r="88" spans="1:6" s="866" customFormat="1" x14ac:dyDescent="0.2">
      <c r="A88" s="801" t="s">
        <v>679</v>
      </c>
      <c r="B88" s="799">
        <v>50000</v>
      </c>
      <c r="C88" s="822" t="s">
        <v>618</v>
      </c>
      <c r="D88" s="823"/>
      <c r="E88" s="800">
        <v>50000</v>
      </c>
      <c r="F88" s="825">
        <f t="shared" si="0"/>
        <v>0</v>
      </c>
    </row>
    <row r="89" spans="1:6" s="867" customFormat="1" x14ac:dyDescent="0.2">
      <c r="A89" s="802" t="s">
        <v>842</v>
      </c>
      <c r="B89" s="799">
        <v>1524000</v>
      </c>
      <c r="C89" s="822" t="s">
        <v>618</v>
      </c>
      <c r="D89" s="823"/>
      <c r="E89" s="800">
        <v>1524000</v>
      </c>
      <c r="F89" s="825">
        <f t="shared" si="0"/>
        <v>0</v>
      </c>
    </row>
    <row r="90" spans="1:6" s="867" customFormat="1" x14ac:dyDescent="0.2">
      <c r="A90" s="802" t="s">
        <v>841</v>
      </c>
      <c r="B90" s="799">
        <v>132900</v>
      </c>
      <c r="C90" s="822" t="s">
        <v>618</v>
      </c>
      <c r="D90" s="823"/>
      <c r="E90" s="800">
        <v>132900</v>
      </c>
      <c r="F90" s="825">
        <f t="shared" si="0"/>
        <v>0</v>
      </c>
    </row>
    <row r="91" spans="1:6" s="774" customFormat="1" x14ac:dyDescent="0.2">
      <c r="A91" s="798" t="s">
        <v>680</v>
      </c>
      <c r="B91" s="799"/>
      <c r="C91" s="822"/>
      <c r="D91" s="823"/>
      <c r="E91" s="800"/>
      <c r="F91" s="825"/>
    </row>
    <row r="92" spans="1:6" s="774" customFormat="1" ht="13.5" thickBot="1" x14ac:dyDescent="0.25">
      <c r="A92" s="846" t="s">
        <v>681</v>
      </c>
      <c r="B92" s="840">
        <v>16669</v>
      </c>
      <c r="C92" s="841" t="s">
        <v>618</v>
      </c>
      <c r="D92" s="842"/>
      <c r="E92" s="842">
        <v>16669</v>
      </c>
      <c r="F92" s="843"/>
    </row>
    <row r="93" spans="1:6" s="774" customFormat="1" x14ac:dyDescent="0.2">
      <c r="A93" s="815" t="s">
        <v>843</v>
      </c>
      <c r="B93" s="1083"/>
      <c r="C93" s="1084"/>
      <c r="D93" s="1085"/>
      <c r="E93" s="1085"/>
      <c r="F93" s="1086"/>
    </row>
    <row r="94" spans="1:6" s="867" customFormat="1" ht="13.5" thickBot="1" x14ac:dyDescent="0.25">
      <c r="A94" s="1087" t="s">
        <v>844</v>
      </c>
      <c r="B94" s="862">
        <v>801000</v>
      </c>
      <c r="C94" s="863" t="s">
        <v>618</v>
      </c>
      <c r="D94" s="864"/>
      <c r="E94" s="864">
        <v>801000</v>
      </c>
      <c r="F94" s="865"/>
    </row>
    <row r="95" spans="1:6" s="785" customFormat="1" ht="21" customHeight="1" x14ac:dyDescent="0.2">
      <c r="A95" s="847" t="s">
        <v>533</v>
      </c>
      <c r="B95" s="816"/>
      <c r="C95" s="817"/>
      <c r="D95" s="818"/>
      <c r="E95" s="818"/>
      <c r="F95" s="819">
        <f t="shared" si="0"/>
        <v>0</v>
      </c>
    </row>
    <row r="96" spans="1:6" s="774" customFormat="1" ht="19.5" customHeight="1" x14ac:dyDescent="0.2">
      <c r="A96" s="831" t="s">
        <v>682</v>
      </c>
      <c r="B96" s="821">
        <v>133350</v>
      </c>
      <c r="C96" s="822" t="s">
        <v>618</v>
      </c>
      <c r="D96" s="823"/>
      <c r="E96" s="823">
        <v>133350</v>
      </c>
      <c r="F96" s="825">
        <f t="shared" si="0"/>
        <v>0</v>
      </c>
    </row>
    <row r="97" spans="1:6" s="774" customFormat="1" ht="19.5" customHeight="1" x14ac:dyDescent="0.2">
      <c r="A97" s="831" t="s">
        <v>683</v>
      </c>
      <c r="B97" s="821">
        <v>151130</v>
      </c>
      <c r="C97" s="822" t="s">
        <v>618</v>
      </c>
      <c r="D97" s="823"/>
      <c r="E97" s="823">
        <v>151130</v>
      </c>
      <c r="F97" s="825">
        <f t="shared" si="0"/>
        <v>0</v>
      </c>
    </row>
    <row r="98" spans="1:6" s="774" customFormat="1" ht="19.5" customHeight="1" x14ac:dyDescent="0.2">
      <c r="A98" s="831" t="s">
        <v>684</v>
      </c>
      <c r="B98" s="821">
        <v>255270</v>
      </c>
      <c r="C98" s="822" t="s">
        <v>618</v>
      </c>
      <c r="D98" s="823"/>
      <c r="E98" s="823">
        <v>255270</v>
      </c>
      <c r="F98" s="825"/>
    </row>
    <row r="99" spans="1:6" s="774" customFormat="1" ht="19.5" customHeight="1" x14ac:dyDescent="0.2">
      <c r="A99" s="797" t="s">
        <v>685</v>
      </c>
      <c r="B99" s="821">
        <v>40640</v>
      </c>
      <c r="C99" s="822" t="s">
        <v>618</v>
      </c>
      <c r="D99" s="823"/>
      <c r="E99" s="823">
        <v>40640</v>
      </c>
      <c r="F99" s="825">
        <f t="shared" si="0"/>
        <v>0</v>
      </c>
    </row>
    <row r="100" spans="1:6" s="867" customFormat="1" ht="19.5" customHeight="1" x14ac:dyDescent="0.2">
      <c r="A100" s="1088" t="s">
        <v>838</v>
      </c>
      <c r="B100" s="1089">
        <v>908700</v>
      </c>
      <c r="C100" s="1090" t="s">
        <v>618</v>
      </c>
      <c r="D100" s="1091"/>
      <c r="E100" s="1091">
        <v>908700</v>
      </c>
      <c r="F100" s="1092">
        <f t="shared" si="0"/>
        <v>0</v>
      </c>
    </row>
    <row r="101" spans="1:6" s="867" customFormat="1" ht="19.5" customHeight="1" x14ac:dyDescent="0.2">
      <c r="A101" s="1088" t="s">
        <v>839</v>
      </c>
      <c r="B101" s="1089">
        <v>217500</v>
      </c>
      <c r="C101" s="1090" t="s">
        <v>618</v>
      </c>
      <c r="D101" s="1091"/>
      <c r="E101" s="1091">
        <v>217500</v>
      </c>
      <c r="F101" s="1092">
        <f t="shared" si="0"/>
        <v>0</v>
      </c>
    </row>
    <row r="102" spans="1:6" s="867" customFormat="1" ht="19.5" customHeight="1" x14ac:dyDescent="0.2">
      <c r="A102" s="1088" t="s">
        <v>840</v>
      </c>
      <c r="B102" s="1089">
        <v>140000</v>
      </c>
      <c r="C102" s="1090" t="s">
        <v>618</v>
      </c>
      <c r="D102" s="1091"/>
      <c r="E102" s="1091">
        <v>140000</v>
      </c>
      <c r="F102" s="1092">
        <f t="shared" si="0"/>
        <v>0</v>
      </c>
    </row>
    <row r="103" spans="1:6" s="774" customFormat="1" ht="25.5" customHeight="1" thickBot="1" x14ac:dyDescent="0.25">
      <c r="A103" s="1047" t="s">
        <v>816</v>
      </c>
      <c r="B103" s="840">
        <f>60960+4000+63500</f>
        <v>128460</v>
      </c>
      <c r="C103" s="841" t="s">
        <v>618</v>
      </c>
      <c r="D103" s="842"/>
      <c r="E103" s="842">
        <f>60960+4000+63500</f>
        <v>128460</v>
      </c>
      <c r="F103" s="843">
        <f t="shared" si="0"/>
        <v>0</v>
      </c>
    </row>
    <row r="104" spans="1:6" s="867" customFormat="1" ht="19.5" customHeight="1" thickBot="1" x14ac:dyDescent="0.25">
      <c r="A104" s="1072" t="s">
        <v>65</v>
      </c>
      <c r="B104" s="902">
        <f>SUM(B5:B103)</f>
        <v>887718001</v>
      </c>
      <c r="C104" s="833"/>
      <c r="D104" s="832">
        <f>SUM(D5:D103)</f>
        <v>16040970</v>
      </c>
      <c r="E104" s="902">
        <f>SUM(E5:E103)</f>
        <v>871677031</v>
      </c>
      <c r="F104" s="832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6. számú melléklet a 4/2020.(II.28.) önkormányzati rendelethez</oddHead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/>
    <pageSetUpPr fitToPage="1"/>
  </sheetPr>
  <dimension ref="A1:G26"/>
  <sheetViews>
    <sheetView view="pageLayout" zoomScaleNormal="100" workbookViewId="0">
      <selection activeCell="E11" sqref="E11"/>
    </sheetView>
  </sheetViews>
  <sheetFormatPr defaultRowHeight="12.75" x14ac:dyDescent="0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4.75" customHeight="1" x14ac:dyDescent="0.2">
      <c r="A1" s="1185" t="s">
        <v>9</v>
      </c>
      <c r="B1" s="1185"/>
      <c r="C1" s="1185"/>
      <c r="D1" s="1185"/>
      <c r="E1" s="1185"/>
      <c r="F1" s="1185"/>
    </row>
    <row r="2" spans="1:7" ht="23.25" customHeight="1" thickBot="1" x14ac:dyDescent="0.3">
      <c r="A2" s="566"/>
      <c r="B2" s="553"/>
      <c r="C2" s="553"/>
      <c r="D2" s="553"/>
      <c r="E2" s="553"/>
      <c r="F2" s="567" t="s">
        <v>555</v>
      </c>
    </row>
    <row r="3" spans="1:7" s="35" customFormat="1" ht="48.75" customHeight="1" thickBot="1" x14ac:dyDescent="0.25">
      <c r="A3" s="557" t="s">
        <v>69</v>
      </c>
      <c r="B3" s="568" t="s">
        <v>67</v>
      </c>
      <c r="C3" s="568" t="s">
        <v>68</v>
      </c>
      <c r="D3" s="568" t="s">
        <v>619</v>
      </c>
      <c r="E3" s="568" t="s">
        <v>603</v>
      </c>
      <c r="F3" s="559" t="s">
        <v>606</v>
      </c>
      <c r="G3" s="294"/>
    </row>
    <row r="4" spans="1:7" s="773" customFormat="1" ht="15" customHeight="1" thickBot="1" x14ac:dyDescent="0.25">
      <c r="A4" s="569">
        <v>1</v>
      </c>
      <c r="B4" s="570">
        <v>2</v>
      </c>
      <c r="C4" s="570">
        <v>3</v>
      </c>
      <c r="D4" s="570">
        <v>4</v>
      </c>
      <c r="E4" s="570">
        <v>5</v>
      </c>
      <c r="F4" s="571">
        <v>6</v>
      </c>
    </row>
    <row r="5" spans="1:7" s="773" customFormat="1" ht="15" customHeight="1" thickBot="1" x14ac:dyDescent="0.25">
      <c r="A5" s="1186" t="s">
        <v>688</v>
      </c>
      <c r="B5" s="1187"/>
      <c r="C5" s="1187"/>
      <c r="D5" s="1187"/>
      <c r="E5" s="1187"/>
      <c r="F5" s="1188"/>
    </row>
    <row r="6" spans="1:7" s="774" customFormat="1" ht="15.95" customHeight="1" x14ac:dyDescent="0.2">
      <c r="A6" s="667" t="s">
        <v>803</v>
      </c>
      <c r="B6" s="669">
        <v>80112238</v>
      </c>
      <c r="C6" s="883" t="s">
        <v>618</v>
      </c>
      <c r="D6" s="884"/>
      <c r="E6" s="884">
        <v>80112238</v>
      </c>
      <c r="F6" s="886">
        <f t="shared" ref="F6:F18" si="0">B6-D6-E6</f>
        <v>0</v>
      </c>
    </row>
    <row r="7" spans="1:7" s="774" customFormat="1" ht="15.95" customHeight="1" x14ac:dyDescent="0.2">
      <c r="A7" s="668" t="s">
        <v>806</v>
      </c>
      <c r="B7" s="906">
        <v>690118</v>
      </c>
      <c r="C7" s="675" t="s">
        <v>618</v>
      </c>
      <c r="D7" s="676"/>
      <c r="E7" s="676">
        <v>690118</v>
      </c>
      <c r="F7" s="887"/>
    </row>
    <row r="8" spans="1:7" s="774" customFormat="1" ht="15.95" customHeight="1" x14ac:dyDescent="0.2">
      <c r="A8" s="668" t="s">
        <v>628</v>
      </c>
      <c r="B8" s="906">
        <v>6761480</v>
      </c>
      <c r="C8" s="671" t="s">
        <v>618</v>
      </c>
      <c r="D8" s="672"/>
      <c r="E8" s="672">
        <v>6761480</v>
      </c>
      <c r="F8" s="674">
        <f t="shared" ref="F8" si="1">B8-D8-E8</f>
        <v>0</v>
      </c>
    </row>
    <row r="9" spans="1:7" ht="15.95" customHeight="1" x14ac:dyDescent="0.2">
      <c r="A9" s="668" t="s">
        <v>629</v>
      </c>
      <c r="B9" s="670">
        <f>2981946+197250</f>
        <v>3179196</v>
      </c>
      <c r="C9" s="675" t="s">
        <v>694</v>
      </c>
      <c r="D9" s="672">
        <f>2981946</f>
        <v>2981946</v>
      </c>
      <c r="E9" s="672">
        <v>197250</v>
      </c>
      <c r="F9" s="674">
        <f t="shared" si="0"/>
        <v>0</v>
      </c>
    </row>
    <row r="10" spans="1:7" ht="15.95" customHeight="1" x14ac:dyDescent="0.2">
      <c r="A10" s="888" t="s">
        <v>849</v>
      </c>
      <c r="B10" s="889">
        <v>317500</v>
      </c>
      <c r="C10" s="880" t="s">
        <v>618</v>
      </c>
      <c r="D10" s="881"/>
      <c r="E10" s="881">
        <v>317500</v>
      </c>
      <c r="F10" s="674"/>
    </row>
    <row r="11" spans="1:7" ht="15.95" customHeight="1" x14ac:dyDescent="0.2">
      <c r="A11" s="668" t="s">
        <v>630</v>
      </c>
      <c r="B11" s="670">
        <v>1270000</v>
      </c>
      <c r="C11" s="671">
        <v>2019</v>
      </c>
      <c r="D11" s="672"/>
      <c r="E11" s="672">
        <v>1270000</v>
      </c>
      <c r="F11" s="673">
        <f t="shared" si="0"/>
        <v>0</v>
      </c>
    </row>
    <row r="12" spans="1:7" ht="15.95" customHeight="1" x14ac:dyDescent="0.2">
      <c r="A12" s="668" t="s">
        <v>631</v>
      </c>
      <c r="B12" s="670">
        <f>889000+88900</f>
        <v>977900</v>
      </c>
      <c r="C12" s="671">
        <v>2019</v>
      </c>
      <c r="D12" s="672"/>
      <c r="E12" s="676">
        <f>889000+70000+18900</f>
        <v>977900</v>
      </c>
      <c r="F12" s="674">
        <f t="shared" si="0"/>
        <v>0</v>
      </c>
    </row>
    <row r="13" spans="1:7" s="774" customFormat="1" ht="15.95" customHeight="1" x14ac:dyDescent="0.2">
      <c r="A13" s="668" t="s">
        <v>632</v>
      </c>
      <c r="B13" s="670">
        <f>400001+962909</f>
        <v>1362910</v>
      </c>
      <c r="C13" s="675">
        <v>2019</v>
      </c>
      <c r="D13" s="676"/>
      <c r="E13" s="676">
        <f>400001+962909</f>
        <v>1362910</v>
      </c>
      <c r="F13" s="887">
        <f t="shared" si="0"/>
        <v>0</v>
      </c>
    </row>
    <row r="14" spans="1:7" ht="15.95" customHeight="1" x14ac:dyDescent="0.2">
      <c r="A14" s="668" t="s">
        <v>635</v>
      </c>
      <c r="B14" s="670">
        <v>22860000</v>
      </c>
      <c r="C14" s="675">
        <v>2019</v>
      </c>
      <c r="D14" s="676"/>
      <c r="E14" s="676">
        <v>22860000</v>
      </c>
      <c r="F14" s="677">
        <f t="shared" si="0"/>
        <v>0</v>
      </c>
    </row>
    <row r="15" spans="1:7" ht="15.95" customHeight="1" x14ac:dyDescent="0.2">
      <c r="A15" s="678" t="s">
        <v>700</v>
      </c>
      <c r="B15" s="670">
        <v>28614577</v>
      </c>
      <c r="C15" s="671">
        <v>2019</v>
      </c>
      <c r="D15" s="672"/>
      <c r="E15" s="672">
        <v>28614577</v>
      </c>
      <c r="F15" s="673">
        <f t="shared" si="0"/>
        <v>0</v>
      </c>
    </row>
    <row r="16" spans="1:7" s="774" customFormat="1" ht="15.95" customHeight="1" x14ac:dyDescent="0.2">
      <c r="A16" s="854" t="s">
        <v>644</v>
      </c>
      <c r="B16" s="670">
        <v>1206500</v>
      </c>
      <c r="C16" s="671">
        <v>2019</v>
      </c>
      <c r="D16" s="672"/>
      <c r="E16" s="672">
        <v>1206500</v>
      </c>
      <c r="F16" s="674">
        <f t="shared" si="0"/>
        <v>0</v>
      </c>
    </row>
    <row r="17" spans="1:7" s="372" customFormat="1" ht="15.95" customHeight="1" x14ac:dyDescent="0.2">
      <c r="A17" s="854" t="s">
        <v>697</v>
      </c>
      <c r="B17" s="889">
        <f>41244493-100000</f>
        <v>41144493</v>
      </c>
      <c r="C17" s="675" t="s">
        <v>695</v>
      </c>
      <c r="D17" s="672"/>
      <c r="E17" s="881">
        <f>41244493-100000</f>
        <v>41144493</v>
      </c>
      <c r="F17" s="673">
        <f t="shared" si="0"/>
        <v>0</v>
      </c>
      <c r="G17" s="774"/>
    </row>
    <row r="18" spans="1:7" s="372" customFormat="1" ht="15.95" customHeight="1" x14ac:dyDescent="0.2">
      <c r="A18" s="678" t="s">
        <v>645</v>
      </c>
      <c r="B18" s="670">
        <v>1905000</v>
      </c>
      <c r="C18" s="671">
        <v>2019</v>
      </c>
      <c r="D18" s="672"/>
      <c r="E18" s="672">
        <v>1905000</v>
      </c>
      <c r="F18" s="673">
        <f t="shared" si="0"/>
        <v>0</v>
      </c>
    </row>
    <row r="19" spans="1:7" s="774" customFormat="1" ht="25.5" x14ac:dyDescent="0.2">
      <c r="A19" s="668" t="s">
        <v>818</v>
      </c>
      <c r="B19" s="889">
        <f>260000000-1400000</f>
        <v>258600000</v>
      </c>
      <c r="C19" s="675" t="s">
        <v>819</v>
      </c>
      <c r="D19" s="676"/>
      <c r="E19" s="881">
        <f>260000000-1400000</f>
        <v>258600000</v>
      </c>
      <c r="F19" s="907"/>
    </row>
    <row r="20" spans="1:7" s="774" customFormat="1" ht="25.5" x14ac:dyDescent="0.2">
      <c r="A20" s="1128" t="s">
        <v>820</v>
      </c>
      <c r="B20" s="1129">
        <v>20000000</v>
      </c>
      <c r="C20" s="1130" t="s">
        <v>819</v>
      </c>
      <c r="D20" s="1131"/>
      <c r="E20" s="1131">
        <v>20000000</v>
      </c>
      <c r="F20" s="910"/>
    </row>
    <row r="21" spans="1:7" s="774" customFormat="1" ht="25.5" x14ac:dyDescent="0.2">
      <c r="A21" s="1128" t="s">
        <v>822</v>
      </c>
      <c r="B21" s="1129">
        <f>29999900+5294100-352940</f>
        <v>34941060</v>
      </c>
      <c r="C21" s="1130" t="s">
        <v>819</v>
      </c>
      <c r="D21" s="1131"/>
      <c r="E21" s="1131">
        <f>35294000-352940</f>
        <v>34941060</v>
      </c>
      <c r="F21" s="910"/>
    </row>
    <row r="22" spans="1:7" s="774" customFormat="1" ht="13.5" thickBot="1" x14ac:dyDescent="0.25">
      <c r="A22" s="1132" t="s">
        <v>824</v>
      </c>
      <c r="B22" s="1133">
        <v>1000000</v>
      </c>
      <c r="C22" s="1134" t="s">
        <v>618</v>
      </c>
      <c r="D22" s="1135"/>
      <c r="E22" s="1135">
        <v>1000000</v>
      </c>
      <c r="F22" s="908"/>
    </row>
    <row r="23" spans="1:7" s="372" customFormat="1" ht="15.95" customHeight="1" thickBot="1" x14ac:dyDescent="0.25">
      <c r="A23" s="1189" t="s">
        <v>0</v>
      </c>
      <c r="B23" s="1190"/>
      <c r="C23" s="1190"/>
      <c r="D23" s="1190"/>
      <c r="E23" s="1190"/>
      <c r="F23" s="1191"/>
    </row>
    <row r="24" spans="1:7" ht="15.95" customHeight="1" x14ac:dyDescent="0.2">
      <c r="A24" s="667" t="s">
        <v>686</v>
      </c>
      <c r="B24" s="669">
        <v>280000</v>
      </c>
      <c r="C24" s="883" t="s">
        <v>618</v>
      </c>
      <c r="D24" s="884"/>
      <c r="E24" s="884">
        <v>280000</v>
      </c>
      <c r="F24" s="885">
        <f>B24-D24-E24</f>
        <v>0</v>
      </c>
    </row>
    <row r="25" spans="1:7" ht="15.95" customHeight="1" thickBot="1" x14ac:dyDescent="0.25">
      <c r="A25" s="685" t="s">
        <v>687</v>
      </c>
      <c r="B25" s="686">
        <v>609600</v>
      </c>
      <c r="C25" s="687">
        <v>2019</v>
      </c>
      <c r="D25" s="688"/>
      <c r="E25" s="688">
        <v>609600</v>
      </c>
      <c r="F25" s="572">
        <f>B25-D25-E25</f>
        <v>0</v>
      </c>
    </row>
    <row r="26" spans="1:7" s="39" customFormat="1" ht="18" customHeight="1" thickBot="1" x14ac:dyDescent="0.25">
      <c r="A26" s="573" t="s">
        <v>65</v>
      </c>
      <c r="B26" s="574">
        <f>SUM(B6:B25)</f>
        <v>505832572</v>
      </c>
      <c r="C26" s="575"/>
      <c r="D26" s="574">
        <f>SUM(D6:D25)</f>
        <v>2981946</v>
      </c>
      <c r="E26" s="574">
        <f>SUM(E6:E25)</f>
        <v>502850626</v>
      </c>
      <c r="F26" s="576">
        <f>SUM(F6:F25)</f>
        <v>0</v>
      </c>
    </row>
  </sheetData>
  <mergeCells count="3">
    <mergeCell ref="A1:F1"/>
    <mergeCell ref="A5:F5"/>
    <mergeCell ref="A23:F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horizontalDpi="300" verticalDpi="300" r:id="rId1"/>
  <headerFooter alignWithMargins="0">
    <oddHeader>&amp;R&amp;"Times New Roman CE,Félkövér dőlt"&amp;11 7. számú melléklet a 4/2020.(II.28.)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E45"/>
  <sheetViews>
    <sheetView view="pageLayout" zoomScaleNormal="100" zoomScaleSheetLayoutView="85" workbookViewId="0">
      <selection activeCell="H29" sqref="H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511"/>
      <c r="B1" s="511"/>
      <c r="C1" s="511"/>
      <c r="D1" s="511"/>
      <c r="E1" s="511"/>
    </row>
    <row r="2" spans="1:5" ht="74.25" customHeight="1" x14ac:dyDescent="0.25">
      <c r="A2" s="1192" t="s">
        <v>698</v>
      </c>
      <c r="B2" s="1192"/>
      <c r="C2" s="1192"/>
      <c r="D2" s="1192"/>
      <c r="E2" s="1192"/>
    </row>
    <row r="3" spans="1:5" ht="14.25" thickBot="1" x14ac:dyDescent="0.3">
      <c r="A3" s="511"/>
      <c r="B3" s="511"/>
      <c r="C3" s="511"/>
      <c r="D3" s="1193" t="s">
        <v>561</v>
      </c>
      <c r="E3" s="1193"/>
    </row>
    <row r="4" spans="1:5" ht="15" customHeight="1" thickBot="1" x14ac:dyDescent="0.25">
      <c r="A4" s="512" t="s">
        <v>585</v>
      </c>
      <c r="B4" s="513" t="s">
        <v>607</v>
      </c>
      <c r="C4" s="513">
        <v>2019</v>
      </c>
      <c r="D4" s="513" t="s">
        <v>608</v>
      </c>
      <c r="E4" s="514" t="s">
        <v>51</v>
      </c>
    </row>
    <row r="5" spans="1:5" x14ac:dyDescent="0.2">
      <c r="A5" s="515" t="s">
        <v>586</v>
      </c>
      <c r="B5" s="516"/>
      <c r="C5" s="516">
        <v>3237306</v>
      </c>
      <c r="D5" s="516"/>
      <c r="E5" s="517">
        <v>3237306</v>
      </c>
    </row>
    <row r="6" spans="1:5" x14ac:dyDescent="0.2">
      <c r="A6" s="518" t="s">
        <v>587</v>
      </c>
      <c r="B6" s="519"/>
      <c r="C6" s="519"/>
      <c r="D6" s="519"/>
      <c r="E6" s="520"/>
    </row>
    <row r="7" spans="1:5" x14ac:dyDescent="0.2">
      <c r="A7" s="521" t="s">
        <v>588</v>
      </c>
      <c r="B7" s="522"/>
      <c r="C7" s="522">
        <v>25377271</v>
      </c>
      <c r="D7" s="522"/>
      <c r="E7" s="523">
        <v>25377271</v>
      </c>
    </row>
    <row r="8" spans="1:5" x14ac:dyDescent="0.2">
      <c r="A8" s="521" t="s">
        <v>589</v>
      </c>
      <c r="B8" s="522"/>
      <c r="C8" s="522"/>
      <c r="D8" s="522"/>
      <c r="E8" s="523"/>
    </row>
    <row r="9" spans="1:5" x14ac:dyDescent="0.2">
      <c r="A9" s="521" t="s">
        <v>119</v>
      </c>
      <c r="B9" s="522"/>
      <c r="C9" s="522"/>
      <c r="D9" s="522"/>
      <c r="E9" s="523"/>
    </row>
    <row r="10" spans="1:5" x14ac:dyDescent="0.2">
      <c r="A10" s="521" t="s">
        <v>590</v>
      </c>
      <c r="B10" s="522"/>
      <c r="C10" s="522"/>
      <c r="D10" s="522"/>
      <c r="E10" s="523"/>
    </row>
    <row r="11" spans="1:5" ht="13.5" thickBot="1" x14ac:dyDescent="0.25">
      <c r="A11" s="524"/>
      <c r="B11" s="525"/>
      <c r="C11" s="525"/>
      <c r="D11" s="525"/>
      <c r="E11" s="523"/>
    </row>
    <row r="12" spans="1:5" ht="13.5" thickBot="1" x14ac:dyDescent="0.25">
      <c r="A12" s="526" t="s">
        <v>591</v>
      </c>
      <c r="B12" s="527">
        <f>B5+SUM(B7:B11)</f>
        <v>0</v>
      </c>
      <c r="C12" s="527">
        <f>C5+SUM(C7:C11)</f>
        <v>28614577</v>
      </c>
      <c r="D12" s="527">
        <f>D5+SUM(D7:D11)</f>
        <v>0</v>
      </c>
      <c r="E12" s="528">
        <f>E5+SUM(E7:E11)</f>
        <v>28614577</v>
      </c>
    </row>
    <row r="13" spans="1:5" ht="13.5" thickBot="1" x14ac:dyDescent="0.25">
      <c r="A13" s="529"/>
      <c r="B13" s="529"/>
      <c r="C13" s="529"/>
      <c r="D13" s="529"/>
      <c r="E13" s="529"/>
    </row>
    <row r="14" spans="1:5" ht="15" customHeight="1" thickBot="1" x14ac:dyDescent="0.25">
      <c r="A14" s="512" t="s">
        <v>592</v>
      </c>
      <c r="B14" s="513" t="s">
        <v>607</v>
      </c>
      <c r="C14" s="513">
        <v>2019</v>
      </c>
      <c r="D14" s="513" t="s">
        <v>608</v>
      </c>
      <c r="E14" s="514" t="s">
        <v>51</v>
      </c>
    </row>
    <row r="15" spans="1:5" x14ac:dyDescent="0.2">
      <c r="A15" s="515" t="s">
        <v>593</v>
      </c>
      <c r="B15" s="516"/>
      <c r="C15" s="516"/>
      <c r="D15" s="516"/>
      <c r="E15" s="517"/>
    </row>
    <row r="16" spans="1:5" x14ac:dyDescent="0.2">
      <c r="A16" s="530" t="s">
        <v>594</v>
      </c>
      <c r="B16" s="522"/>
      <c r="C16" s="522">
        <f>26852998+336608+1424971</f>
        <v>28614577</v>
      </c>
      <c r="D16" s="522"/>
      <c r="E16" s="523">
        <v>28614577</v>
      </c>
    </row>
    <row r="17" spans="1:5" x14ac:dyDescent="0.2">
      <c r="A17" s="521" t="s">
        <v>595</v>
      </c>
      <c r="B17" s="522"/>
      <c r="C17" s="522"/>
      <c r="D17" s="522"/>
      <c r="E17" s="523"/>
    </row>
    <row r="18" spans="1:5" x14ac:dyDescent="0.2">
      <c r="A18" s="521" t="s">
        <v>596</v>
      </c>
      <c r="B18" s="522"/>
      <c r="C18" s="522"/>
      <c r="D18" s="522"/>
      <c r="E18" s="523"/>
    </row>
    <row r="19" spans="1:5" x14ac:dyDescent="0.2">
      <c r="A19" s="531" t="s">
        <v>597</v>
      </c>
      <c r="B19" s="522"/>
      <c r="C19" s="522"/>
      <c r="D19" s="522"/>
      <c r="E19" s="523"/>
    </row>
    <row r="20" spans="1:5" x14ac:dyDescent="0.2">
      <c r="A20" s="531" t="s">
        <v>598</v>
      </c>
      <c r="B20" s="522"/>
      <c r="C20" s="522"/>
      <c r="D20" s="522"/>
      <c r="E20" s="523"/>
    </row>
    <row r="21" spans="1:5" ht="13.5" thickBot="1" x14ac:dyDescent="0.25">
      <c r="A21" s="524"/>
      <c r="B21" s="525"/>
      <c r="C21" s="525"/>
      <c r="D21" s="525"/>
      <c r="E21" s="523">
        <f t="shared" ref="E21" si="0">SUM(B21:D21)</f>
        <v>0</v>
      </c>
    </row>
    <row r="22" spans="1:5" ht="13.5" thickBot="1" x14ac:dyDescent="0.25">
      <c r="A22" s="526" t="s">
        <v>53</v>
      </c>
      <c r="B22" s="527">
        <f>SUM(B15:B21)</f>
        <v>0</v>
      </c>
      <c r="C22" s="527">
        <f>SUM(C15:C21)</f>
        <v>28614577</v>
      </c>
      <c r="D22" s="527">
        <f>SUM(D15:D21)</f>
        <v>0</v>
      </c>
      <c r="E22" s="528">
        <f>SUM(E15:E21)</f>
        <v>28614577</v>
      </c>
    </row>
    <row r="23" spans="1:5" x14ac:dyDescent="0.2">
      <c r="A23" s="511"/>
      <c r="B23" s="511"/>
      <c r="C23" s="511"/>
      <c r="D23" s="511"/>
      <c r="E23" s="511"/>
    </row>
    <row r="24" spans="1:5" ht="48.75" customHeight="1" x14ac:dyDescent="0.25">
      <c r="A24" s="1192" t="s">
        <v>699</v>
      </c>
      <c r="B24" s="1192"/>
      <c r="C24" s="1192"/>
      <c r="D24" s="1192"/>
      <c r="E24" s="1192"/>
    </row>
    <row r="25" spans="1:5" ht="14.25" thickBot="1" x14ac:dyDescent="0.3">
      <c r="A25" s="511"/>
      <c r="B25" s="511"/>
      <c r="C25" s="511"/>
      <c r="D25" s="1193" t="s">
        <v>561</v>
      </c>
      <c r="E25" s="1193"/>
    </row>
    <row r="26" spans="1:5" ht="13.5" thickBot="1" x14ac:dyDescent="0.25">
      <c r="A26" s="512" t="s">
        <v>585</v>
      </c>
      <c r="B26" s="513" t="s">
        <v>607</v>
      </c>
      <c r="C26" s="513">
        <v>2019</v>
      </c>
      <c r="D26" s="513" t="s">
        <v>608</v>
      </c>
      <c r="E26" s="514" t="s">
        <v>51</v>
      </c>
    </row>
    <row r="27" spans="1:5" x14ac:dyDescent="0.2">
      <c r="A27" s="515" t="s">
        <v>586</v>
      </c>
      <c r="B27" s="516"/>
      <c r="C27" s="516">
        <v>2021904</v>
      </c>
      <c r="D27" s="516"/>
      <c r="E27" s="517">
        <f t="shared" ref="E27:E33" si="1">SUM(B27:D27)</f>
        <v>2021904</v>
      </c>
    </row>
    <row r="28" spans="1:5" x14ac:dyDescent="0.2">
      <c r="A28" s="518" t="s">
        <v>587</v>
      </c>
      <c r="B28" s="519"/>
      <c r="C28" s="519"/>
      <c r="D28" s="519"/>
      <c r="E28" s="520"/>
    </row>
    <row r="29" spans="1:5" x14ac:dyDescent="0.2">
      <c r="A29" s="521" t="s">
        <v>588</v>
      </c>
      <c r="B29" s="522">
        <v>24509303</v>
      </c>
      <c r="C29" s="522">
        <f>65441097-2021904</f>
        <v>63419193</v>
      </c>
      <c r="D29" s="522">
        <v>51086432</v>
      </c>
      <c r="E29" s="523">
        <f>SUM(B29:D29)</f>
        <v>139014928</v>
      </c>
    </row>
    <row r="30" spans="1:5" x14ac:dyDescent="0.2">
      <c r="A30" s="521" t="s">
        <v>589</v>
      </c>
      <c r="B30" s="522"/>
      <c r="C30" s="522"/>
      <c r="D30" s="522"/>
      <c r="E30" s="523"/>
    </row>
    <row r="31" spans="1:5" x14ac:dyDescent="0.2">
      <c r="A31" s="521" t="s">
        <v>119</v>
      </c>
      <c r="B31" s="532"/>
      <c r="C31" s="522"/>
      <c r="D31" s="522"/>
      <c r="E31" s="523"/>
    </row>
    <row r="32" spans="1:5" x14ac:dyDescent="0.2">
      <c r="A32" s="521" t="s">
        <v>590</v>
      </c>
      <c r="B32" s="522"/>
      <c r="C32" s="522"/>
      <c r="D32" s="522"/>
      <c r="E32" s="523"/>
    </row>
    <row r="33" spans="1:5" ht="13.5" thickBot="1" x14ac:dyDescent="0.25">
      <c r="A33" s="524"/>
      <c r="B33" s="525"/>
      <c r="C33" s="525"/>
      <c r="D33" s="525"/>
      <c r="E33" s="523">
        <f t="shared" si="1"/>
        <v>0</v>
      </c>
    </row>
    <row r="34" spans="1:5" ht="13.5" thickBot="1" x14ac:dyDescent="0.25">
      <c r="A34" s="526" t="s">
        <v>591</v>
      </c>
      <c r="B34" s="527">
        <f>B27+SUM(B29:B33)</f>
        <v>24509303</v>
      </c>
      <c r="C34" s="527">
        <f>C27+SUM(C29:C33)</f>
        <v>65441097</v>
      </c>
      <c r="D34" s="527">
        <f>D27+SUM(D29:D33)</f>
        <v>51086432</v>
      </c>
      <c r="E34" s="528">
        <f>E27+SUM(E29:E33)</f>
        <v>141036832</v>
      </c>
    </row>
    <row r="35" spans="1:5" ht="13.5" thickBot="1" x14ac:dyDescent="0.25">
      <c r="A35" s="529"/>
      <c r="B35" s="529"/>
      <c r="C35" s="529"/>
      <c r="D35" s="529"/>
      <c r="E35" s="529"/>
    </row>
    <row r="36" spans="1:5" ht="13.5" thickBot="1" x14ac:dyDescent="0.25">
      <c r="A36" s="512" t="s">
        <v>592</v>
      </c>
      <c r="B36" s="513" t="s">
        <v>607</v>
      </c>
      <c r="C36" s="513">
        <v>2019</v>
      </c>
      <c r="D36" s="513" t="s">
        <v>608</v>
      </c>
      <c r="E36" s="514" t="s">
        <v>51</v>
      </c>
    </row>
    <row r="37" spans="1:5" x14ac:dyDescent="0.2">
      <c r="A37" s="515" t="s">
        <v>593</v>
      </c>
      <c r="B37" s="516">
        <v>1093608</v>
      </c>
      <c r="C37" s="516">
        <v>2187216</v>
      </c>
      <c r="D37" s="516">
        <v>3178056</v>
      </c>
      <c r="E37" s="517">
        <v>6458880</v>
      </c>
    </row>
    <row r="38" spans="1:5" x14ac:dyDescent="0.2">
      <c r="A38" s="530" t="s">
        <v>594</v>
      </c>
      <c r="B38" s="522"/>
      <c r="C38" s="533">
        <f>47949076-100000</f>
        <v>47849076</v>
      </c>
      <c r="D38" s="522"/>
      <c r="E38" s="523">
        <v>47145076</v>
      </c>
    </row>
    <row r="39" spans="1:5" x14ac:dyDescent="0.2">
      <c r="A39" s="521" t="s">
        <v>595</v>
      </c>
      <c r="B39" s="522">
        <v>7556500</v>
      </c>
      <c r="C39" s="533">
        <f>31164000+100000</f>
        <v>31264000</v>
      </c>
      <c r="D39" s="522">
        <v>47908376</v>
      </c>
      <c r="E39" s="523">
        <v>87432876</v>
      </c>
    </row>
    <row r="40" spans="1:5" x14ac:dyDescent="0.2">
      <c r="A40" s="521" t="s">
        <v>596</v>
      </c>
      <c r="B40" s="522"/>
      <c r="C40" s="522"/>
      <c r="D40" s="522"/>
      <c r="E40" s="523"/>
    </row>
    <row r="41" spans="1:5" x14ac:dyDescent="0.2">
      <c r="A41" s="531" t="s">
        <v>597</v>
      </c>
      <c r="B41" s="522"/>
      <c r="C41" s="522"/>
      <c r="D41" s="522"/>
      <c r="E41" s="523"/>
    </row>
    <row r="42" spans="1:5" x14ac:dyDescent="0.2">
      <c r="A42" s="531" t="s">
        <v>598</v>
      </c>
      <c r="B42" s="533"/>
      <c r="C42" s="522"/>
      <c r="D42" s="522"/>
      <c r="E42" s="523"/>
    </row>
    <row r="43" spans="1:5" ht="13.5" thickBot="1" x14ac:dyDescent="0.25">
      <c r="A43" s="524"/>
      <c r="B43" s="525"/>
      <c r="C43" s="525"/>
      <c r="D43" s="525"/>
      <c r="E43" s="523"/>
    </row>
    <row r="44" spans="1:5" ht="13.5" thickBot="1" x14ac:dyDescent="0.25">
      <c r="A44" s="526" t="s">
        <v>53</v>
      </c>
      <c r="B44" s="534">
        <f>SUM(B37:B43)</f>
        <v>8650108</v>
      </c>
      <c r="C44" s="534">
        <f>SUM(C37:C43)</f>
        <v>81300292</v>
      </c>
      <c r="D44" s="534">
        <f>SUM(D37:D43)</f>
        <v>51086432</v>
      </c>
      <c r="E44" s="535">
        <f>SUM(E37:E43)</f>
        <v>141036832</v>
      </c>
    </row>
    <row r="45" spans="1:5" x14ac:dyDescent="0.2">
      <c r="A45" s="511"/>
      <c r="B45" s="511"/>
      <c r="C45" s="511"/>
      <c r="D45" s="511"/>
      <c r="E45" s="51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2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4/2020.(II.28.)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  <pageSetUpPr fitToPage="1"/>
  </sheetPr>
  <dimension ref="A1:F45"/>
  <sheetViews>
    <sheetView view="pageLayout" zoomScaleNormal="100" zoomScaleSheetLayoutView="85" workbookViewId="0">
      <selection activeCell="A2" sqref="A2:E2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6" x14ac:dyDescent="0.2">
      <c r="A1" s="511"/>
      <c r="B1" s="511"/>
      <c r="C1" s="511"/>
      <c r="D1" s="511"/>
      <c r="E1" s="511"/>
    </row>
    <row r="2" spans="1:6" ht="74.25" customHeight="1" x14ac:dyDescent="0.25">
      <c r="A2" s="1192" t="s">
        <v>778</v>
      </c>
      <c r="B2" s="1192"/>
      <c r="C2" s="1192"/>
      <c r="D2" s="1192"/>
      <c r="E2" s="1192"/>
      <c r="F2" s="877"/>
    </row>
    <row r="3" spans="1:6" ht="14.25" thickBot="1" x14ac:dyDescent="0.3">
      <c r="A3" s="878"/>
      <c r="B3" s="878"/>
      <c r="C3" s="878"/>
      <c r="D3" s="1193" t="s">
        <v>561</v>
      </c>
      <c r="E3" s="1193"/>
      <c r="F3" s="877"/>
    </row>
    <row r="4" spans="1:6" ht="15" customHeight="1" thickBot="1" x14ac:dyDescent="0.25">
      <c r="A4" s="512" t="s">
        <v>585</v>
      </c>
      <c r="B4" s="513" t="s">
        <v>607</v>
      </c>
      <c r="C4" s="513">
        <v>2019</v>
      </c>
      <c r="D4" s="513" t="s">
        <v>608</v>
      </c>
      <c r="E4" s="514" t="s">
        <v>51</v>
      </c>
      <c r="F4" s="877"/>
    </row>
    <row r="5" spans="1:6" x14ac:dyDescent="0.2">
      <c r="A5" s="515" t="s">
        <v>586</v>
      </c>
      <c r="B5" s="516"/>
      <c r="C5" s="516"/>
      <c r="D5" s="516"/>
      <c r="E5" s="517">
        <f>B5+C5+D5</f>
        <v>0</v>
      </c>
      <c r="F5" s="877"/>
    </row>
    <row r="6" spans="1:6" x14ac:dyDescent="0.2">
      <c r="A6" s="518" t="s">
        <v>587</v>
      </c>
      <c r="B6" s="519"/>
      <c r="C6" s="519"/>
      <c r="D6" s="519"/>
      <c r="E6" s="520">
        <f t="shared" ref="E6:E11" si="0">B6+C6+D6</f>
        <v>0</v>
      </c>
      <c r="F6" s="877"/>
    </row>
    <row r="7" spans="1:6" x14ac:dyDescent="0.2">
      <c r="A7" s="521" t="s">
        <v>588</v>
      </c>
      <c r="B7" s="522"/>
      <c r="C7" s="522">
        <v>85000000</v>
      </c>
      <c r="D7" s="522"/>
      <c r="E7" s="523">
        <f t="shared" si="0"/>
        <v>85000000</v>
      </c>
      <c r="F7" s="877"/>
    </row>
    <row r="8" spans="1:6" x14ac:dyDescent="0.2">
      <c r="A8" s="521" t="s">
        <v>589</v>
      </c>
      <c r="B8" s="522"/>
      <c r="C8" s="522"/>
      <c r="D8" s="522"/>
      <c r="E8" s="523">
        <f t="shared" si="0"/>
        <v>0</v>
      </c>
      <c r="F8" s="877"/>
    </row>
    <row r="9" spans="1:6" x14ac:dyDescent="0.2">
      <c r="A9" s="521" t="s">
        <v>119</v>
      </c>
      <c r="B9" s="522"/>
      <c r="C9" s="522"/>
      <c r="D9" s="522"/>
      <c r="E9" s="523">
        <f t="shared" si="0"/>
        <v>0</v>
      </c>
      <c r="F9" s="877"/>
    </row>
    <row r="10" spans="1:6" x14ac:dyDescent="0.2">
      <c r="A10" s="521" t="s">
        <v>590</v>
      </c>
      <c r="B10" s="522"/>
      <c r="C10" s="522"/>
      <c r="D10" s="522"/>
      <c r="E10" s="523">
        <f t="shared" si="0"/>
        <v>0</v>
      </c>
      <c r="F10" s="877"/>
    </row>
    <row r="11" spans="1:6" ht="13.5" thickBot="1" x14ac:dyDescent="0.25">
      <c r="A11" s="524"/>
      <c r="B11" s="525"/>
      <c r="C11" s="525"/>
      <c r="D11" s="525"/>
      <c r="E11" s="523">
        <f t="shared" si="0"/>
        <v>0</v>
      </c>
      <c r="F11" s="877"/>
    </row>
    <row r="12" spans="1:6" ht="13.5" thickBot="1" x14ac:dyDescent="0.25">
      <c r="A12" s="526" t="s">
        <v>591</v>
      </c>
      <c r="B12" s="527">
        <f>B5+SUM(B7:B11)</f>
        <v>0</v>
      </c>
      <c r="C12" s="527">
        <f>C5+SUM(C7:C11)</f>
        <v>85000000</v>
      </c>
      <c r="D12" s="527">
        <f>D5+SUM(D7:D11)</f>
        <v>0</v>
      </c>
      <c r="E12" s="528">
        <f>E5+SUM(E7:E11)</f>
        <v>85000000</v>
      </c>
      <c r="F12" s="877"/>
    </row>
    <row r="13" spans="1:6" ht="13.5" thickBot="1" x14ac:dyDescent="0.25">
      <c r="A13" s="879"/>
      <c r="B13" s="879"/>
      <c r="C13" s="879"/>
      <c r="D13" s="879"/>
      <c r="E13" s="879"/>
      <c r="F13" s="877"/>
    </row>
    <row r="14" spans="1:6" ht="15" customHeight="1" thickBot="1" x14ac:dyDescent="0.25">
      <c r="A14" s="512" t="s">
        <v>592</v>
      </c>
      <c r="B14" s="513" t="s">
        <v>607</v>
      </c>
      <c r="C14" s="513">
        <v>2019</v>
      </c>
      <c r="D14" s="513" t="s">
        <v>608</v>
      </c>
      <c r="E14" s="514" t="s">
        <v>51</v>
      </c>
      <c r="F14" s="877"/>
    </row>
    <row r="15" spans="1:6" x14ac:dyDescent="0.2">
      <c r="A15" s="515" t="s">
        <v>593</v>
      </c>
      <c r="B15" s="516"/>
      <c r="C15" s="516">
        <f>1778250+346750</f>
        <v>2125000</v>
      </c>
      <c r="D15" s="516"/>
      <c r="E15" s="517">
        <f t="shared" ref="E15:E21" si="1">B15+C15+D15</f>
        <v>2125000</v>
      </c>
      <c r="F15" s="877"/>
    </row>
    <row r="16" spans="1:6" x14ac:dyDescent="0.2">
      <c r="A16" s="530" t="s">
        <v>594</v>
      </c>
      <c r="B16" s="522"/>
      <c r="C16" s="533">
        <f>82307980-100000</f>
        <v>82207980</v>
      </c>
      <c r="D16" s="522"/>
      <c r="E16" s="523">
        <f t="shared" si="1"/>
        <v>82207980</v>
      </c>
      <c r="F16" s="877"/>
    </row>
    <row r="17" spans="1:6" x14ac:dyDescent="0.2">
      <c r="A17" s="521" t="s">
        <v>595</v>
      </c>
      <c r="B17" s="522">
        <v>567020</v>
      </c>
      <c r="C17" s="533">
        <v>100000</v>
      </c>
      <c r="D17" s="522"/>
      <c r="E17" s="523">
        <f t="shared" si="1"/>
        <v>667020</v>
      </c>
      <c r="F17" s="877"/>
    </row>
    <row r="18" spans="1:6" x14ac:dyDescent="0.2">
      <c r="A18" s="521" t="s">
        <v>596</v>
      </c>
      <c r="B18" s="522"/>
      <c r="C18" s="522"/>
      <c r="D18" s="522"/>
      <c r="E18" s="523">
        <f t="shared" si="1"/>
        <v>0</v>
      </c>
      <c r="F18" s="877"/>
    </row>
    <row r="19" spans="1:6" x14ac:dyDescent="0.2">
      <c r="A19" s="531" t="s">
        <v>597</v>
      </c>
      <c r="B19" s="522"/>
      <c r="C19" s="522"/>
      <c r="D19" s="522"/>
      <c r="E19" s="523">
        <f t="shared" si="1"/>
        <v>0</v>
      </c>
      <c r="F19" s="877"/>
    </row>
    <row r="20" spans="1:6" x14ac:dyDescent="0.2">
      <c r="A20" s="531" t="s">
        <v>598</v>
      </c>
      <c r="B20" s="522"/>
      <c r="C20" s="522"/>
      <c r="D20" s="522"/>
      <c r="E20" s="523">
        <f t="shared" si="1"/>
        <v>0</v>
      </c>
      <c r="F20" s="877"/>
    </row>
    <row r="21" spans="1:6" ht="13.5" thickBot="1" x14ac:dyDescent="0.25">
      <c r="A21" s="524"/>
      <c r="B21" s="525"/>
      <c r="C21" s="525"/>
      <c r="D21" s="525"/>
      <c r="E21" s="523">
        <f t="shared" si="1"/>
        <v>0</v>
      </c>
      <c r="F21" s="877"/>
    </row>
    <row r="22" spans="1:6" ht="13.5" thickBot="1" x14ac:dyDescent="0.25">
      <c r="A22" s="526" t="s">
        <v>53</v>
      </c>
      <c r="B22" s="527">
        <f>SUM(B15:B21)</f>
        <v>567020</v>
      </c>
      <c r="C22" s="527">
        <f>SUM(C15:C21)</f>
        <v>84432980</v>
      </c>
      <c r="D22" s="527">
        <f>SUM(D15:D21)</f>
        <v>0</v>
      </c>
      <c r="E22" s="528">
        <f>SUM(E15:E21)</f>
        <v>85000000</v>
      </c>
      <c r="F22" s="877"/>
    </row>
    <row r="23" spans="1:6" x14ac:dyDescent="0.2">
      <c r="A23" s="511"/>
      <c r="B23" s="511"/>
      <c r="C23" s="511"/>
      <c r="D23" s="511"/>
      <c r="E23" s="511"/>
    </row>
    <row r="24" spans="1:6" ht="48.75" customHeight="1" x14ac:dyDescent="0.25">
      <c r="A24" s="1192" t="s">
        <v>798</v>
      </c>
      <c r="B24" s="1192"/>
      <c r="C24" s="1192"/>
      <c r="D24" s="1192"/>
      <c r="E24" s="1192"/>
    </row>
    <row r="25" spans="1:6" ht="14.25" thickBot="1" x14ac:dyDescent="0.3">
      <c r="A25" s="878"/>
      <c r="B25" s="878"/>
      <c r="C25" s="878"/>
      <c r="D25" s="1193" t="s">
        <v>561</v>
      </c>
      <c r="E25" s="1193"/>
    </row>
    <row r="26" spans="1:6" ht="13.5" thickBot="1" x14ac:dyDescent="0.25">
      <c r="A26" s="512" t="s">
        <v>585</v>
      </c>
      <c r="B26" s="513" t="s">
        <v>607</v>
      </c>
      <c r="C26" s="513">
        <v>2019</v>
      </c>
      <c r="D26" s="513" t="s">
        <v>608</v>
      </c>
      <c r="E26" s="514" t="s">
        <v>51</v>
      </c>
    </row>
    <row r="27" spans="1:6" x14ac:dyDescent="0.2">
      <c r="A27" s="515" t="s">
        <v>586</v>
      </c>
      <c r="B27" s="516"/>
      <c r="C27" s="516"/>
      <c r="D27" s="516"/>
      <c r="E27" s="517">
        <f>SUM(B27:D27)</f>
        <v>0</v>
      </c>
    </row>
    <row r="28" spans="1:6" x14ac:dyDescent="0.2">
      <c r="A28" s="518" t="s">
        <v>587</v>
      </c>
      <c r="B28" s="519"/>
      <c r="C28" s="519"/>
      <c r="D28" s="519"/>
      <c r="E28" s="520">
        <f t="shared" ref="E28:E34" si="2">SUM(B28:D28)</f>
        <v>0</v>
      </c>
    </row>
    <row r="29" spans="1:6" x14ac:dyDescent="0.2">
      <c r="A29" s="521" t="s">
        <v>588</v>
      </c>
      <c r="B29" s="522"/>
      <c r="C29" s="522">
        <v>369968656</v>
      </c>
      <c r="D29" s="522"/>
      <c r="E29" s="523">
        <f t="shared" si="2"/>
        <v>369968656</v>
      </c>
    </row>
    <row r="30" spans="1:6" x14ac:dyDescent="0.2">
      <c r="A30" s="521" t="s">
        <v>589</v>
      </c>
      <c r="B30" s="522"/>
      <c r="C30" s="522"/>
      <c r="D30" s="522"/>
      <c r="E30" s="523">
        <f t="shared" si="2"/>
        <v>0</v>
      </c>
    </row>
    <row r="31" spans="1:6" x14ac:dyDescent="0.2">
      <c r="A31" s="521" t="s">
        <v>119</v>
      </c>
      <c r="B31" s="890"/>
      <c r="C31" s="522"/>
      <c r="D31" s="522"/>
      <c r="E31" s="523">
        <f t="shared" si="2"/>
        <v>0</v>
      </c>
    </row>
    <row r="32" spans="1:6" x14ac:dyDescent="0.2">
      <c r="A32" s="521" t="s">
        <v>590</v>
      </c>
      <c r="B32" s="522"/>
      <c r="C32" s="522"/>
      <c r="D32" s="522"/>
      <c r="E32" s="523">
        <f t="shared" si="2"/>
        <v>0</v>
      </c>
    </row>
    <row r="33" spans="1:5" ht="13.5" thickBot="1" x14ac:dyDescent="0.25">
      <c r="A33" s="524"/>
      <c r="B33" s="525"/>
      <c r="C33" s="525"/>
      <c r="D33" s="525"/>
      <c r="E33" s="523">
        <f t="shared" si="2"/>
        <v>0</v>
      </c>
    </row>
    <row r="34" spans="1:5" ht="13.5" thickBot="1" x14ac:dyDescent="0.25">
      <c r="A34" s="526" t="s">
        <v>591</v>
      </c>
      <c r="B34" s="527">
        <f>B27+SUM(B29:B33)</f>
        <v>0</v>
      </c>
      <c r="C34" s="527">
        <f>C27+SUM(C29:C33)</f>
        <v>369968656</v>
      </c>
      <c r="D34" s="527">
        <f>D27+SUM(D29:D33)</f>
        <v>0</v>
      </c>
      <c r="E34" s="528">
        <f t="shared" si="2"/>
        <v>369968656</v>
      </c>
    </row>
    <row r="35" spans="1:5" ht="13.5" thickBot="1" x14ac:dyDescent="0.25">
      <c r="A35" s="879"/>
      <c r="B35" s="879"/>
      <c r="C35" s="879"/>
      <c r="D35" s="879"/>
      <c r="E35" s="879"/>
    </row>
    <row r="36" spans="1:5" ht="13.5" thickBot="1" x14ac:dyDescent="0.25">
      <c r="A36" s="512" t="s">
        <v>592</v>
      </c>
      <c r="B36" s="513" t="s">
        <v>607</v>
      </c>
      <c r="C36" s="513">
        <v>2019</v>
      </c>
      <c r="D36" s="513" t="s">
        <v>608</v>
      </c>
      <c r="E36" s="514" t="s">
        <v>51</v>
      </c>
    </row>
    <row r="37" spans="1:5" x14ac:dyDescent="0.2">
      <c r="A37" s="515" t="s">
        <v>593</v>
      </c>
      <c r="B37" s="516"/>
      <c r="C37" s="516">
        <f>6623900+1043264-6623900-1043264</f>
        <v>0</v>
      </c>
      <c r="D37" s="516"/>
      <c r="E37" s="517">
        <f t="shared" ref="E37:E44" si="3">SUM(B37:D37)</f>
        <v>0</v>
      </c>
    </row>
    <row r="38" spans="1:5" x14ac:dyDescent="0.2">
      <c r="A38" s="530" t="s">
        <v>594</v>
      </c>
      <c r="B38" s="522"/>
      <c r="C38" s="522">
        <f>14620000+195843428+1181102+57144024+63080502+17031736</f>
        <v>348900792</v>
      </c>
      <c r="D38" s="522"/>
      <c r="E38" s="523">
        <f t="shared" si="3"/>
        <v>348900792</v>
      </c>
    </row>
    <row r="39" spans="1:5" x14ac:dyDescent="0.2">
      <c r="A39" s="521" t="s">
        <v>595</v>
      </c>
      <c r="B39" s="522"/>
      <c r="C39" s="533">
        <f>5551732+1498968+6037137+1630027</f>
        <v>14717864</v>
      </c>
      <c r="D39" s="522"/>
      <c r="E39" s="523">
        <f t="shared" si="3"/>
        <v>14717864</v>
      </c>
    </row>
    <row r="40" spans="1:5" x14ac:dyDescent="0.2">
      <c r="A40" s="521" t="s">
        <v>596</v>
      </c>
      <c r="B40" s="522"/>
      <c r="C40" s="522"/>
      <c r="D40" s="522"/>
      <c r="E40" s="523">
        <f t="shared" si="3"/>
        <v>0</v>
      </c>
    </row>
    <row r="41" spans="1:5" x14ac:dyDescent="0.2">
      <c r="A41" s="531" t="s">
        <v>597</v>
      </c>
      <c r="B41" s="522"/>
      <c r="C41" s="522">
        <v>6350000</v>
      </c>
      <c r="D41" s="522"/>
      <c r="E41" s="523">
        <f t="shared" si="3"/>
        <v>6350000</v>
      </c>
    </row>
    <row r="42" spans="1:5" x14ac:dyDescent="0.2">
      <c r="A42" s="531" t="s">
        <v>598</v>
      </c>
      <c r="B42" s="890"/>
      <c r="C42" s="522"/>
      <c r="D42" s="522"/>
      <c r="E42" s="523">
        <f t="shared" si="3"/>
        <v>0</v>
      </c>
    </row>
    <row r="43" spans="1:5" ht="13.5" thickBot="1" x14ac:dyDescent="0.25">
      <c r="A43" s="524"/>
      <c r="B43" s="525"/>
      <c r="C43" s="525"/>
      <c r="D43" s="525"/>
      <c r="E43" s="523">
        <f t="shared" si="3"/>
        <v>0</v>
      </c>
    </row>
    <row r="44" spans="1:5" ht="13.5" thickBot="1" x14ac:dyDescent="0.25">
      <c r="A44" s="526" t="s">
        <v>53</v>
      </c>
      <c r="B44" s="534">
        <f>SUM(B37:B43)</f>
        <v>0</v>
      </c>
      <c r="C44" s="534">
        <f>SUM(C37:C43)</f>
        <v>369968656</v>
      </c>
      <c r="D44" s="534">
        <f>SUM(D37:D43)</f>
        <v>0</v>
      </c>
      <c r="E44" s="535">
        <f t="shared" si="3"/>
        <v>369968656</v>
      </c>
    </row>
    <row r="45" spans="1:5" x14ac:dyDescent="0.2">
      <c r="A45" s="511"/>
      <c r="B45" s="511"/>
      <c r="C45" s="511"/>
      <c r="D45" s="511"/>
      <c r="E45" s="51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9.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22</vt:i4>
      </vt:variant>
    </vt:vector>
  </HeadingPairs>
  <TitlesOfParts>
    <vt:vector size="54" baseType="lpstr">
      <vt:lpstr>1.1.sz.mell. </vt:lpstr>
      <vt:lpstr>1.2.sz.mell. </vt:lpstr>
      <vt:lpstr>1.3.sz.mell.</vt:lpstr>
      <vt:lpstr>2.1.sz.mell </vt:lpstr>
      <vt:lpstr>2.2.sz.mell .</vt:lpstr>
      <vt:lpstr>6.sz.mell.</vt:lpstr>
      <vt:lpstr>7.sz.mell.</vt:lpstr>
      <vt:lpstr>8.3. sz. mell.</vt:lpstr>
      <vt:lpstr>8.4. sz. mell.</vt:lpstr>
      <vt:lpstr>9.1. sz. mell.</vt:lpstr>
      <vt:lpstr>9.1.1. sz. mell. </vt:lpstr>
      <vt:lpstr>9.1.2. sz. mell.</vt:lpstr>
      <vt:lpstr>9.2. sz. mell. 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9.6.2. sz. mell Kornisné Kp.</vt:lpstr>
      <vt:lpstr>9.7. sz. mell TIB  </vt:lpstr>
      <vt:lpstr>9.7.1. sz. mell TIB  </vt:lpstr>
      <vt:lpstr>9.7.2. sz. mell TIB</vt:lpstr>
      <vt:lpstr>10.sz.mell int.összesítő</vt:lpstr>
      <vt:lpstr>11.sz.mell tartalék</vt:lpstr>
      <vt:lpstr>1.sz tájékoztató t </vt:lpstr>
      <vt:lpstr>4.sz tájékoztató t </vt:lpstr>
      <vt:lpstr>5.sz. tájékoztató</vt:lpstr>
      <vt:lpstr>6.sz tájékoztató t </vt:lpstr>
      <vt:lpstr>7.sz. táj. 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'2.1.sz.mell '!Nyomtatási_terület</vt:lpstr>
      <vt:lpstr>'7.sz. táj. feladatos Önk.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2020-02-28T10:12:36Z</cp:lastPrinted>
  <dcterms:created xsi:type="dcterms:W3CDTF">1999-10-30T10:30:45Z</dcterms:created>
  <dcterms:modified xsi:type="dcterms:W3CDTF">2020-03-02T10:44:04Z</dcterms:modified>
</cp:coreProperties>
</file>